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ald\Documents\DJDINC\DJD CD 2010-13\KSDOE\Training Seminars Fall 2015\Presentation\Handouts\"/>
    </mc:Choice>
  </mc:AlternateContent>
  <bookViews>
    <workbookView xWindow="315" yWindow="-75" windowWidth="7710" windowHeight="7515" tabRatio="710"/>
  </bookViews>
  <sheets>
    <sheet name="Summary" sheetId="18" r:id="rId1"/>
    <sheet name="Discounts 2015" sheetId="44" r:id="rId2"/>
    <sheet name="SLD Call Log" sheetId="42" r:id="rId3"/>
    <sheet name="Cat1" sheetId="45" r:id="rId4"/>
    <sheet name="Cat2" sheetId="7" r:id="rId5"/>
  </sheets>
  <definedNames>
    <definedName name="_xlnm.Print_Area" localSheetId="3">'Cat1'!$A$1:$A$8</definedName>
    <definedName name="_xlnm.Print_Area" localSheetId="4">'Cat2'!$A$1:$L$57</definedName>
    <definedName name="_xlnm.Print_Area" localSheetId="1">'Discounts 2015'!$A$1:$H$12</definedName>
    <definedName name="_xlnm.Print_Area" localSheetId="0">Summary!$A$1:$AG$11</definedName>
    <definedName name="_xlnm.Print_Titles" localSheetId="0">Summary!$A:$D,Summary!$1:$1</definedName>
    <definedName name="Total_Count_of_All_Classroom_Switches" localSheetId="3">#REF!</definedName>
    <definedName name="Total_Count_of_All_Classroom_Switches" localSheetId="1">#REF!</definedName>
    <definedName name="Total_Count_of_All_Classroom_Switches" localSheetId="2">#REF!</definedName>
    <definedName name="Total_Count_of_All_Classroom_Switches">#REF!</definedName>
  </definedNames>
  <calcPr calcId="152511"/>
</workbook>
</file>

<file path=xl/calcChain.xml><?xml version="1.0" encoding="utf-8"?>
<calcChain xmlns="http://schemas.openxmlformats.org/spreadsheetml/2006/main">
  <c r="L57" i="7" l="1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23" i="7"/>
  <c r="K57" i="7"/>
  <c r="J57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23" i="7"/>
  <c r="C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57" i="7" l="1"/>
  <c r="F5" i="45" l="1"/>
  <c r="F4" i="45"/>
  <c r="F8" i="45" s="1"/>
  <c r="D6" i="45" l="1"/>
  <c r="D12" i="45"/>
  <c r="D20" i="45" l="1"/>
  <c r="Q11" i="18" l="1"/>
  <c r="M10" i="18"/>
  <c r="C17" i="7"/>
  <c r="C16" i="7"/>
  <c r="C5" i="7"/>
  <c r="C3" i="7"/>
  <c r="C13" i="7"/>
  <c r="C8" i="7" l="1"/>
  <c r="E37" i="7" s="1"/>
  <c r="F25" i="7"/>
  <c r="F33" i="7"/>
  <c r="F41" i="7"/>
  <c r="F49" i="7"/>
  <c r="F29" i="7"/>
  <c r="F53" i="7"/>
  <c r="F37" i="7"/>
  <c r="F45" i="7"/>
  <c r="F52" i="7"/>
  <c r="F55" i="7"/>
  <c r="F42" i="7"/>
  <c r="F44" i="7"/>
  <c r="F34" i="7"/>
  <c r="F32" i="7"/>
  <c r="F26" i="7"/>
  <c r="F23" i="7"/>
  <c r="F48" i="7"/>
  <c r="F51" i="7"/>
  <c r="F38" i="7"/>
  <c r="F47" i="7"/>
  <c r="F36" i="7"/>
  <c r="F39" i="7"/>
  <c r="F54" i="7"/>
  <c r="F56" i="7"/>
  <c r="F27" i="7"/>
  <c r="F40" i="7"/>
  <c r="F43" i="7"/>
  <c r="F30" i="7"/>
  <c r="F46" i="7"/>
  <c r="F35" i="7"/>
  <c r="F28" i="7"/>
  <c r="F31" i="7"/>
  <c r="F50" i="7"/>
  <c r="F24" i="7"/>
  <c r="C18" i="7"/>
  <c r="E26" i="7" l="1"/>
  <c r="E42" i="7"/>
  <c r="E40" i="7"/>
  <c r="E50" i="7"/>
  <c r="H50" i="7" s="1"/>
  <c r="I50" i="7" s="1"/>
  <c r="E49" i="7"/>
  <c r="E24" i="7"/>
  <c r="E25" i="7"/>
  <c r="E56" i="7"/>
  <c r="E47" i="7"/>
  <c r="E36" i="7"/>
  <c r="E44" i="7"/>
  <c r="E45" i="7"/>
  <c r="H45" i="7" s="1"/>
  <c r="I45" i="7" s="1"/>
  <c r="E51" i="7"/>
  <c r="E30" i="7"/>
  <c r="E32" i="7"/>
  <c r="E35" i="7"/>
  <c r="E39" i="7"/>
  <c r="E54" i="7"/>
  <c r="E55" i="7"/>
  <c r="E31" i="7"/>
  <c r="E27" i="7"/>
  <c r="E23" i="7"/>
  <c r="E34" i="7"/>
  <c r="H34" i="7" s="1"/>
  <c r="I34" i="7" s="1"/>
  <c r="E52" i="7"/>
  <c r="E43" i="7"/>
  <c r="E46" i="7"/>
  <c r="E53" i="7"/>
  <c r="E48" i="7"/>
  <c r="E38" i="7"/>
  <c r="E28" i="7"/>
  <c r="E29" i="7"/>
  <c r="E41" i="7"/>
  <c r="H41" i="7" s="1"/>
  <c r="I41" i="7" s="1"/>
  <c r="E33" i="7"/>
  <c r="H32" i="7"/>
  <c r="I32" i="7" s="1"/>
  <c r="G24" i="7"/>
  <c r="H24" i="7" s="1"/>
  <c r="G32" i="7"/>
  <c r="G40" i="7"/>
  <c r="H40" i="7" s="1"/>
  <c r="I40" i="7" s="1"/>
  <c r="G48" i="7"/>
  <c r="G56" i="7"/>
  <c r="G23" i="7"/>
  <c r="H23" i="7" s="1"/>
  <c r="I23" i="7" s="1"/>
  <c r="G29" i="7"/>
  <c r="H29" i="7" s="1"/>
  <c r="I29" i="7" s="1"/>
  <c r="G45" i="7"/>
  <c r="G30" i="7"/>
  <c r="H30" i="7" s="1"/>
  <c r="I30" i="7" s="1"/>
  <c r="G46" i="7"/>
  <c r="H46" i="7" s="1"/>
  <c r="I46" i="7" s="1"/>
  <c r="G37" i="7"/>
  <c r="H37" i="7" s="1"/>
  <c r="I37" i="7" s="1"/>
  <c r="G53" i="7"/>
  <c r="G38" i="7"/>
  <c r="H38" i="7" s="1"/>
  <c r="I38" i="7" s="1"/>
  <c r="G54" i="7"/>
  <c r="H54" i="7" s="1"/>
  <c r="I54" i="7" s="1"/>
  <c r="G39" i="7"/>
  <c r="H39" i="7" s="1"/>
  <c r="I39" i="7" s="1"/>
  <c r="G31" i="7"/>
  <c r="G42" i="7"/>
  <c r="H42" i="7" s="1"/>
  <c r="I42" i="7" s="1"/>
  <c r="G28" i="7"/>
  <c r="G35" i="7"/>
  <c r="G52" i="7"/>
  <c r="G44" i="7"/>
  <c r="H44" i="7" s="1"/>
  <c r="I44" i="7" s="1"/>
  <c r="G51" i="7"/>
  <c r="H51" i="7" s="1"/>
  <c r="I51" i="7" s="1"/>
  <c r="G43" i="7"/>
  <c r="H43" i="7" s="1"/>
  <c r="I43" i="7" s="1"/>
  <c r="G49" i="7"/>
  <c r="H49" i="7" s="1"/>
  <c r="I49" i="7" s="1"/>
  <c r="G55" i="7"/>
  <c r="H55" i="7" s="1"/>
  <c r="I55" i="7" s="1"/>
  <c r="G50" i="7"/>
  <c r="G41" i="7"/>
  <c r="G27" i="7"/>
  <c r="G34" i="7"/>
  <c r="G33" i="7"/>
  <c r="H33" i="7" s="1"/>
  <c r="I33" i="7" s="1"/>
  <c r="G25" i="7"/>
  <c r="H25" i="7" s="1"/>
  <c r="I25" i="7" s="1"/>
  <c r="G36" i="7"/>
  <c r="G26" i="7"/>
  <c r="H26" i="7" s="1"/>
  <c r="I26" i="7" s="1"/>
  <c r="G47" i="7"/>
  <c r="H47" i="7" s="1"/>
  <c r="I47" i="7" s="1"/>
  <c r="F57" i="7"/>
  <c r="H53" i="7"/>
  <c r="I53" i="7" s="1"/>
  <c r="H36" i="7"/>
  <c r="I36" i="7" s="1"/>
  <c r="H28" i="7"/>
  <c r="I28" i="7" s="1"/>
  <c r="D13" i="45"/>
  <c r="H56" i="7" l="1"/>
  <c r="I56" i="7" s="1"/>
  <c r="H52" i="7"/>
  <c r="I52" i="7" s="1"/>
  <c r="H48" i="7"/>
  <c r="I48" i="7" s="1"/>
  <c r="E57" i="7"/>
  <c r="H35" i="7"/>
  <c r="I35" i="7" s="1"/>
  <c r="H31" i="7"/>
  <c r="I31" i="7" s="1"/>
  <c r="I24" i="7"/>
  <c r="G57" i="7"/>
  <c r="H27" i="7"/>
  <c r="I27" i="7" s="1"/>
  <c r="O9" i="18"/>
  <c r="P9" i="18" s="1"/>
  <c r="M5" i="18"/>
  <c r="I57" i="7" l="1"/>
  <c r="H57" i="7"/>
  <c r="O5" i="18"/>
  <c r="P5" i="18" s="1"/>
  <c r="D22" i="45"/>
  <c r="D3" i="45"/>
  <c r="D2" i="45"/>
  <c r="C24" i="45" l="1"/>
  <c r="C25" i="45"/>
  <c r="E22" i="45"/>
  <c r="E23" i="45" s="1"/>
  <c r="D23" i="45"/>
  <c r="D14" i="45"/>
  <c r="D15" i="45" s="1"/>
  <c r="D8" i="45"/>
  <c r="D9" i="45" s="1"/>
  <c r="F10" i="44" l="1"/>
  <c r="F9" i="44"/>
  <c r="F8" i="44"/>
  <c r="F7" i="44"/>
  <c r="F6" i="44"/>
  <c r="F5" i="44"/>
  <c r="F4" i="44"/>
  <c r="F3" i="44"/>
  <c r="D11" i="44" l="1"/>
  <c r="Q10" i="18" l="1"/>
  <c r="O8" i="18"/>
  <c r="O7" i="18"/>
  <c r="O10" i="18" s="1"/>
  <c r="P8" i="18" l="1"/>
  <c r="P7" i="18"/>
  <c r="P10" i="18" s="1"/>
  <c r="M4" i="18" l="1"/>
  <c r="O4" i="18" s="1"/>
  <c r="P4" i="18" s="1"/>
  <c r="M3" i="18"/>
  <c r="M2" i="18"/>
  <c r="M6" i="18" l="1"/>
  <c r="M11" i="18" s="1"/>
  <c r="O3" i="18"/>
  <c r="O2" i="18"/>
  <c r="P2" i="18" s="1"/>
  <c r="P3" i="18" l="1"/>
  <c r="P6" i="18" s="1"/>
  <c r="P11" i="18" s="1"/>
  <c r="O6" i="18"/>
  <c r="O11" i="18" s="1"/>
  <c r="Q6" i="18" l="1"/>
</calcChain>
</file>

<file path=xl/sharedStrings.xml><?xml version="1.0" encoding="utf-8"?>
<sst xmlns="http://schemas.openxmlformats.org/spreadsheetml/2006/main" count="336" uniqueCount="220">
  <si>
    <t xml:space="preserve"> </t>
  </si>
  <si>
    <t>SPIN</t>
  </si>
  <si>
    <t>Description</t>
  </si>
  <si>
    <t>72060</t>
  </si>
  <si>
    <t>Telecom</t>
  </si>
  <si>
    <t>471 #  Att#</t>
  </si>
  <si>
    <t>Cat</t>
  </si>
  <si>
    <t>% Disc</t>
  </si>
  <si>
    <t>District Funding (est.)</t>
  </si>
  <si>
    <t>Amount Awarded</t>
  </si>
  <si>
    <t>Monthly Amount</t>
  </si>
  <si>
    <t>High Speed WAN</t>
  </si>
  <si>
    <t>Local Centrex + Long Dist Services</t>
  </si>
  <si>
    <t>Total       SLD Funding</t>
  </si>
  <si>
    <t>Maintenance</t>
  </si>
  <si>
    <t>Stadium</t>
  </si>
  <si>
    <t>Transport</t>
  </si>
  <si>
    <t>Ricketts</t>
  </si>
  <si>
    <t>Admin</t>
  </si>
  <si>
    <t>Alt Lrn Ctr</t>
  </si>
  <si>
    <t>Diag Lrn Ctr</t>
  </si>
  <si>
    <t>US Cellular</t>
  </si>
  <si>
    <t>MTM, Tariff or Contract</t>
  </si>
  <si>
    <t>470 Ref Yr</t>
  </si>
  <si>
    <t>470 #</t>
  </si>
  <si>
    <t>CAD</t>
  </si>
  <si>
    <t>Contract End                   (per 471)</t>
  </si>
  <si>
    <t>C</t>
  </si>
  <si>
    <t>N/A</t>
  </si>
  <si>
    <t>Annual</t>
  </si>
  <si>
    <t>Site Name</t>
  </si>
  <si>
    <t>Site Enrollment</t>
  </si>
  <si>
    <t>Total F&amp;R</t>
  </si>
  <si>
    <t>Calvin Coolidge Middle School</t>
  </si>
  <si>
    <t>Charter Oak Primary School</t>
  </si>
  <si>
    <t>Franklin-Edison Primary School</t>
  </si>
  <si>
    <t>Glen Oak Primary School</t>
  </si>
  <si>
    <t>Harrison Primary School</t>
  </si>
  <si>
    <t>Hines Primary School</t>
  </si>
  <si>
    <t>Kellar Primary School</t>
  </si>
  <si>
    <t>Knoxville Cntr Student Success</t>
  </si>
  <si>
    <t>Lincoln Middle School</t>
  </si>
  <si>
    <t>Manual High School</t>
  </si>
  <si>
    <t>Mark W Bills Middle School</t>
  </si>
  <si>
    <t>Northmoor Primary School</t>
  </si>
  <si>
    <t>Peoria High School</t>
  </si>
  <si>
    <t>Richwoods High School</t>
  </si>
  <si>
    <t>Robert A Jamieson School</t>
  </si>
  <si>
    <t>Rolling Acres Middle School</t>
  </si>
  <si>
    <t>Roosevelt Magnet School</t>
  </si>
  <si>
    <t>Sterling Middle School</t>
  </si>
  <si>
    <t>Thomas Jefferson Primary School</t>
  </si>
  <si>
    <t>Trewyn Middle School</t>
  </si>
  <si>
    <t>Valeska Hinton Early Ch Ed Ctr</t>
  </si>
  <si>
    <t>Von Steuben Middle School</t>
  </si>
  <si>
    <t>Washington Gifted School</t>
  </si>
  <si>
    <t>Whittier Primary School</t>
  </si>
  <si>
    <t>Woodrow Wilson Primary School</t>
  </si>
  <si>
    <t>Cellular</t>
  </si>
  <si>
    <t>Qty</t>
  </si>
  <si>
    <t>N</t>
  </si>
  <si>
    <t>WAN</t>
  </si>
  <si>
    <t>2023095</t>
  </si>
  <si>
    <t>Internet</t>
  </si>
  <si>
    <t>Charles A Lindbergh Middle School</t>
  </si>
  <si>
    <t>72005</t>
  </si>
  <si>
    <t>72048</t>
  </si>
  <si>
    <t>72067</t>
  </si>
  <si>
    <t>72019</t>
  </si>
  <si>
    <t>71978</t>
  </si>
  <si>
    <t>72014</t>
  </si>
  <si>
    <t>72047</t>
  </si>
  <si>
    <t>71982</t>
  </si>
  <si>
    <t>72009</t>
  </si>
  <si>
    <t>72065</t>
  </si>
  <si>
    <t>72049</t>
  </si>
  <si>
    <t>72000</t>
  </si>
  <si>
    <t>72050</t>
  </si>
  <si>
    <t>71988</t>
  </si>
  <si>
    <t>72052</t>
  </si>
  <si>
    <t>72011</t>
  </si>
  <si>
    <t>71997</t>
  </si>
  <si>
    <t>71989</t>
  </si>
  <si>
    <t>72008</t>
  </si>
  <si>
    <t>72013</t>
  </si>
  <si>
    <t>71975</t>
  </si>
  <si>
    <t>72064</t>
  </si>
  <si>
    <t>72020</t>
  </si>
  <si>
    <t>71993</t>
  </si>
  <si>
    <t>BEN</t>
  </si>
  <si>
    <t>2011 FRN</t>
  </si>
  <si>
    <t>Y</t>
  </si>
  <si>
    <t>2010 FRN</t>
  </si>
  <si>
    <t>2198529</t>
  </si>
  <si>
    <t>2012 FRN</t>
  </si>
  <si>
    <t>ACD</t>
  </si>
  <si>
    <t>Woodruff Career &amp; Tech Center</t>
  </si>
  <si>
    <t>Shared Discount</t>
  </si>
  <si>
    <t>#Bids</t>
  </si>
  <si>
    <t>2278503</t>
  </si>
  <si>
    <t>NIFS</t>
  </si>
  <si>
    <t>16070917</t>
  </si>
  <si>
    <t>2013 FRN</t>
  </si>
  <si>
    <t>Windstream</t>
  </si>
  <si>
    <t>2013 Notes</t>
  </si>
  <si>
    <t>See RFP -Cellular voice and data services for up to 150 users.</t>
  </si>
  <si>
    <t>On Form 471 2013 P2 - 90</t>
  </si>
  <si>
    <t>X</t>
  </si>
  <si>
    <t>2456324</t>
  </si>
  <si>
    <r>
      <t xml:space="preserve">Muti-Year Contract thru 2015 - Dedicated WAN links; </t>
    </r>
    <r>
      <rPr>
        <strike/>
        <sz val="8"/>
        <rFont val="Arial"/>
        <family val="2"/>
      </rPr>
      <t>8 T1 and 36 Gig Ethernet</t>
    </r>
    <r>
      <rPr>
        <sz val="8"/>
        <rFont val="Arial"/>
        <family val="2"/>
      </rPr>
      <t xml:space="preserve"> - per RFP 2010 / added 500mb internet 2013 plus changes to remove T1s - see P1 Tab</t>
    </r>
  </si>
  <si>
    <t>Multi-Year Contract thru 2015 - Local Centrex + LD  - 685 Lines - per RFP 2010. (Highest 2011 bill was $16k)</t>
  </si>
  <si>
    <t>Date</t>
  </si>
  <si>
    <t>Time</t>
  </si>
  <si>
    <t>Case#</t>
  </si>
  <si>
    <t>Client</t>
  </si>
  <si>
    <t>PIA</t>
  </si>
  <si>
    <t>Form</t>
  </si>
  <si>
    <t>Form #</t>
  </si>
  <si>
    <t>Svc Cert</t>
  </si>
  <si>
    <t>Inv Ext</t>
  </si>
  <si>
    <t>Svc Sub</t>
  </si>
  <si>
    <t>Appeal</t>
  </si>
  <si>
    <t>Notes</t>
  </si>
  <si>
    <t>2014 FRN</t>
  </si>
  <si>
    <t>2014 Notes</t>
  </si>
  <si>
    <t>471 Only - multi year contract</t>
  </si>
  <si>
    <t>Needs new Form 470</t>
  </si>
  <si>
    <t>CEO</t>
  </si>
  <si>
    <t>2597709</t>
  </si>
  <si>
    <t>IT Budget</t>
  </si>
  <si>
    <t>Total Pre-Discounted Amount</t>
  </si>
  <si>
    <t xml:space="preserve"> Vendor</t>
  </si>
  <si>
    <t>2015 FRN</t>
  </si>
  <si>
    <t>2015 Changes and Notes</t>
  </si>
  <si>
    <t>Reduce Discount by 20 points 7/1/15</t>
  </si>
  <si>
    <t>470 for 2015</t>
  </si>
  <si>
    <t>RFP for 2015</t>
  </si>
  <si>
    <t>2015</t>
  </si>
  <si>
    <t>519380001270940</t>
  </si>
  <si>
    <t>2015 Form 470 Desc</t>
  </si>
  <si>
    <t>Int Conns</t>
  </si>
  <si>
    <t>No Changes - May want two providers for Internet?</t>
  </si>
  <si>
    <t>Reduce Discount by 20 points on voice and eliminate data 7/1/15</t>
  </si>
  <si>
    <t>Limited to 150/student over 5 years</t>
  </si>
  <si>
    <t>Network Hardware and Software</t>
  </si>
  <si>
    <t>Firewall Upgrade</t>
  </si>
  <si>
    <t>See RFP - 'Category 1 Voice/Data RFP' for Local and LD voice services for approx 700 lines at approx 35 schools and administrative buildings.</t>
  </si>
  <si>
    <t>See RFP -  'Category 1 Voice/Data RFP'  - High Speed WAN data services to distribute Internet and District services to approx 35 schools and administrative buildings.</t>
  </si>
  <si>
    <t>See RFP -'Cellular Service RFP' - Cellular voice and data services for up to 150 users.</t>
  </si>
  <si>
    <t>See RFP - 'Category 2 (LAN/Wireless) RFP' - Network equipment including LAN Switches and WLAN controller licenses.</t>
  </si>
  <si>
    <t>No RFP - Next Generation/Edge (NGFW) firewall for enterprise with at least 4x10Gig-Eth ports and 8xGig-Eth ports, handling at min 200k new sessions/sec, incl web content filter, intrusion protection, appl control, and real-time reporting.</t>
  </si>
  <si>
    <t>Pct Dir Certs for 471</t>
  </si>
  <si>
    <t>Amt</t>
  </si>
  <si>
    <t>Total</t>
  </si>
  <si>
    <t xml:space="preserve">Monthly </t>
  </si>
  <si>
    <t>1gb</t>
  </si>
  <si>
    <t>100mb</t>
  </si>
  <si>
    <t>10gb</t>
  </si>
  <si>
    <t>USF Fees</t>
  </si>
  <si>
    <t>Taxes &amp; Fees 10%</t>
  </si>
  <si>
    <t>90 Cell Phones at $75.mo See Bid evals Pre-Disc amount is only for voice (49%)</t>
  </si>
  <si>
    <t>Elig (.49)</t>
  </si>
  <si>
    <t>Voice</t>
  </si>
  <si>
    <t># lines</t>
  </si>
  <si>
    <t>2765465</t>
  </si>
  <si>
    <t>Cellular Voice</t>
  </si>
  <si>
    <t>Cellular Data (non-eligible)</t>
  </si>
  <si>
    <t>Clifton Larson Allen</t>
  </si>
  <si>
    <t>2</t>
  </si>
  <si>
    <t>WiFi LAN Controller</t>
  </si>
  <si>
    <t>1</t>
  </si>
  <si>
    <t>Midwest Computer Consultants</t>
  </si>
  <si>
    <t>3</t>
  </si>
  <si>
    <t>4</t>
  </si>
  <si>
    <t>n/a</t>
  </si>
  <si>
    <t>Taxes &amp;Fees 15%</t>
  </si>
  <si>
    <t>See Bid Evals and Bid Details</t>
  </si>
  <si>
    <t>Elig 49%</t>
  </si>
  <si>
    <t>NonElig 51%</t>
  </si>
  <si>
    <t>(2) Fortinet Fortigate 1500D UTM</t>
  </si>
  <si>
    <t>Installation</t>
  </si>
  <si>
    <t>FRN Amount</t>
  </si>
  <si>
    <t>Unit Price</t>
  </si>
  <si>
    <t>Price</t>
  </si>
  <si>
    <t>Cisco3925E/K9</t>
  </si>
  <si>
    <t>Switch</t>
  </si>
  <si>
    <t>Router</t>
  </si>
  <si>
    <t>2960X Install</t>
  </si>
  <si>
    <t>3925 Install</t>
  </si>
  <si>
    <t>GLC-LH-SMD</t>
  </si>
  <si>
    <t>LIC-CT5508-50A</t>
  </si>
  <si>
    <t>Software for Wireless Controller</t>
  </si>
  <si>
    <t>Firewall</t>
  </si>
  <si>
    <t>CT5508 config</t>
  </si>
  <si>
    <t>Total Cat2</t>
  </si>
  <si>
    <t>Total 2015</t>
  </si>
  <si>
    <t>2802726</t>
  </si>
  <si>
    <t>WS-C2960X-48FPS-L</t>
  </si>
  <si>
    <t>Using Mar15 Invoices</t>
  </si>
  <si>
    <t>Total Cat1</t>
  </si>
  <si>
    <t>Totals</t>
  </si>
  <si>
    <t>WAN Links</t>
  </si>
  <si>
    <t>Alloc Chgs</t>
  </si>
  <si>
    <t>PSD150 E-Rate 2015 C2 Budget per Building</t>
  </si>
  <si>
    <t>Cost Alloc frm CL Firewall</t>
  </si>
  <si>
    <t>Cost Alloc from WLAN Controller</t>
  </si>
  <si>
    <t>Total C2 Cost Alloc from 471</t>
  </si>
  <si>
    <t>5-Year Cat2 Budget $150/Student</t>
  </si>
  <si>
    <t>Remaining for Future Years</t>
  </si>
  <si>
    <t>Actual Count from Midwest 5/27/15</t>
  </si>
  <si>
    <t>Difference</t>
  </si>
  <si>
    <t>Alloc of Switches (count) per 471</t>
  </si>
  <si>
    <t>Source of Downloaded data</t>
  </si>
  <si>
    <t>Reviewer</t>
  </si>
  <si>
    <t>CAL Inc Firewall</t>
  </si>
  <si>
    <t>Cisco Switches</t>
  </si>
  <si>
    <t>WiFI Controllers</t>
  </si>
  <si>
    <t>Cost Alloc from Switches</t>
  </si>
  <si>
    <t>FCC Form 471# -12345 / 12345</t>
  </si>
  <si>
    <t>FCC Form 471# -111111/22222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</si>
</sst>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.000000_);_(* \(#,##0.000000\);_(* &quot;-&quot;??_);_(@_)"/>
    <numFmt numFmtId="167" formatCode="_-* #,##0_-;\-* #,##0_-;_-* &quot;-&quot;_-;_-@_-"/>
    <numFmt numFmtId="168" formatCode="_-* #,##0.00_-;\-* #,##0.00_-;_-* &quot;-&quot;??_-;_-@_-"/>
    <numFmt numFmtId="169" formatCode="#,##0.0_);\(#,##0.0\)"/>
    <numFmt numFmtId="170" formatCode="_-* #,##0\ &quot;F&quot;_-;\-* #,##0\ &quot;F&quot;_-;_-* &quot;-&quot;\ &quot;F&quot;_-;_-@_-"/>
    <numFmt numFmtId="171" formatCode="0;0;"/>
    <numFmt numFmtId="172" formatCode="mmmm\ d\,\ yyyy"/>
    <numFmt numFmtId="173" formatCode="0.00_)"/>
    <numFmt numFmtId="174" formatCode="mm/dd/yy"/>
    <numFmt numFmtId="175" formatCode="_-&quot;£&quot;* #,##0_-;\-&quot;£&quot;* #,##0_-;_-&quot;£&quot;* &quot;-&quot;_-;_-@_-"/>
    <numFmt numFmtId="176" formatCode="_-&quot;£&quot;* #,##0.00_-;\-&quot;£&quot;* #,##0.00_-;_-&quot;£&quot;* &quot;-&quot;??_-;_-@_-"/>
    <numFmt numFmtId="177" formatCode="00000000000"/>
    <numFmt numFmtId="178" formatCode="mm/dd/yy;@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0"/>
      <name val="Geneva"/>
    </font>
    <font>
      <b/>
      <sz val="10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b/>
      <sz val="8"/>
      <name val="MS Sans Serif"/>
      <family val="2"/>
    </font>
    <font>
      <sz val="12"/>
      <name val="Helv"/>
    </font>
    <font>
      <sz val="12"/>
      <color indexed="9"/>
      <name val="Helv"/>
    </font>
    <font>
      <b/>
      <i/>
      <sz val="16"/>
      <name val="Helv"/>
    </font>
    <font>
      <sz val="10"/>
      <name val="Tms Rmn"/>
    </font>
    <font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11"/>
      <color indexed="12"/>
      <name val="MS Sans Serif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trike/>
      <sz val="8"/>
      <name val="Arial"/>
      <family val="2"/>
    </font>
    <font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i/>
      <sz val="8"/>
      <color rgb="FFFF0000"/>
      <name val="Arial"/>
      <family val="2"/>
    </font>
    <font>
      <strike/>
      <sz val="9"/>
      <name val="Arial"/>
      <family val="2"/>
    </font>
    <font>
      <b/>
      <u/>
      <sz val="9"/>
      <color rgb="FF1F497D"/>
      <name val="Arial"/>
      <family val="2"/>
    </font>
    <font>
      <sz val="9"/>
      <color rgb="FF1F497D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darkVertical"/>
    </fill>
    <fill>
      <patternFill patternType="solid">
        <fgColor indexed="5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1">
    <xf numFmtId="0" fontId="0" fillId="0" borderId="0"/>
    <xf numFmtId="9" fontId="5" fillId="0" borderId="0" applyFont="0" applyFill="0" applyBorder="0" applyAlignment="0" applyProtection="0"/>
    <xf numFmtId="0" fontId="13" fillId="0" borderId="0">
      <alignment horizontal="center" wrapText="1"/>
      <protection locked="0"/>
    </xf>
    <xf numFmtId="9" fontId="14" fillId="0" borderId="0" applyFont="0" applyFill="0" applyBorder="0" applyAlignment="0" applyProtection="0"/>
    <xf numFmtId="5" fontId="15" fillId="0" borderId="5" applyAlignment="0" applyProtection="0"/>
    <xf numFmtId="166" fontId="11" fillId="0" borderId="0" applyFill="0" applyBorder="0" applyAlignment="0"/>
    <xf numFmtId="0" fontId="16" fillId="0" borderId="0" applyNumberFormat="0" applyAlignment="0">
      <alignment horizontal="left"/>
    </xf>
    <xf numFmtId="0" fontId="17" fillId="0" borderId="0" applyNumberFormat="0" applyAlignment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8" fillId="0" borderId="0" applyNumberFormat="0" applyAlignment="0">
      <alignment horizontal="left"/>
    </xf>
    <xf numFmtId="38" fontId="8" fillId="3" borderId="0" applyNumberFormat="0" applyBorder="0" applyAlignment="0" applyProtection="0"/>
    <xf numFmtId="0" fontId="12" fillId="0" borderId="6" applyNumberFormat="0" applyAlignment="0" applyProtection="0">
      <alignment horizontal="left" vertical="center"/>
    </xf>
    <xf numFmtId="0" fontId="12" fillId="0" borderId="7">
      <alignment horizontal="left" vertical="center"/>
    </xf>
    <xf numFmtId="0" fontId="19" fillId="0" borderId="8">
      <alignment horizontal="center"/>
    </xf>
    <xf numFmtId="0" fontId="19" fillId="0" borderId="0">
      <alignment horizontal="center"/>
    </xf>
    <xf numFmtId="10" fontId="8" fillId="4" borderId="1" applyNumberFormat="0" applyBorder="0" applyAlignment="0" applyProtection="0"/>
    <xf numFmtId="169" fontId="20" fillId="5" borderId="0"/>
    <xf numFmtId="0" fontId="14" fillId="0" borderId="0"/>
    <xf numFmtId="169" fontId="21" fillId="6" borderId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22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4" fontId="13" fillId="0" borderId="0">
      <alignment horizontal="center" wrapText="1"/>
      <protection locked="0"/>
    </xf>
    <xf numFmtId="10" fontId="11" fillId="0" borderId="0" applyFont="0" applyFill="0" applyBorder="0" applyAlignment="0" applyProtection="0"/>
    <xf numFmtId="5" fontId="23" fillId="0" borderId="0"/>
    <xf numFmtId="0" fontId="24" fillId="0" borderId="0" applyNumberFormat="0" applyFont="0" applyFill="0" applyBorder="0" applyAlignment="0" applyProtection="0">
      <alignment horizontal="left"/>
    </xf>
    <xf numFmtId="0" fontId="25" fillId="7" borderId="0" applyNumberFormat="0" applyFont="0" applyBorder="0" applyAlignment="0">
      <alignment horizontal="center"/>
    </xf>
    <xf numFmtId="174" fontId="26" fillId="0" borderId="0" applyNumberFormat="0" applyFill="0" applyBorder="0" applyAlignment="0" applyProtection="0">
      <alignment horizontal="left"/>
    </xf>
    <xf numFmtId="0" fontId="25" fillId="1" borderId="7" applyNumberFormat="0" applyFont="0" applyAlignment="0">
      <alignment horizontal="center"/>
    </xf>
    <xf numFmtId="0" fontId="27" fillId="0" borderId="0" applyNumberFormat="0" applyFill="0" applyBorder="0" applyAlignment="0">
      <alignment horizontal="center"/>
    </xf>
    <xf numFmtId="0" fontId="11" fillId="8" borderId="0"/>
    <xf numFmtId="40" fontId="28" fillId="0" borderId="0" applyBorder="0">
      <alignment horizontal="right"/>
    </xf>
    <xf numFmtId="3" fontId="29" fillId="0" borderId="0">
      <alignment horizontal="right" vertical="center"/>
    </xf>
    <xf numFmtId="49" fontId="29" fillId="0" borderId="0">
      <alignment horizontal="right" vertical="center"/>
    </xf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5" fillId="0" borderId="0">
      <alignment wrapText="1"/>
    </xf>
    <xf numFmtId="0" fontId="5" fillId="0" borderId="0">
      <alignment wrapText="1"/>
    </xf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4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44" fontId="39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162">
    <xf numFmtId="0" fontId="0" fillId="0" borderId="0" xfId="0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8" fillId="0" borderId="0" xfId="0" applyFont="1" applyAlignment="1">
      <alignment vertical="center"/>
    </xf>
    <xf numFmtId="0" fontId="7" fillId="2" borderId="0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quotePrefix="1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6" fillId="0" borderId="0" xfId="0" applyFont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1" fontId="7" fillId="0" borderId="0" xfId="0" applyNumberFormat="1" applyFont="1" applyFill="1" applyBorder="1" applyAlignment="1">
      <alignment horizontal="center"/>
    </xf>
    <xf numFmtId="0" fontId="5" fillId="0" borderId="0" xfId="0" applyFont="1"/>
    <xf numFmtId="44" fontId="9" fillId="0" borderId="0" xfId="0" applyNumberFormat="1" applyFont="1" applyBorder="1" applyAlignment="1">
      <alignment horizontal="center" wrapText="1"/>
    </xf>
    <xf numFmtId="44" fontId="0" fillId="0" borderId="0" xfId="0" applyNumberFormat="1"/>
    <xf numFmtId="0" fontId="5" fillId="0" borderId="0" xfId="48"/>
    <xf numFmtId="0" fontId="5" fillId="0" borderId="0" xfId="48" applyAlignment="1">
      <alignment horizontal="center"/>
    </xf>
    <xf numFmtId="0" fontId="5" fillId="0" borderId="0" xfId="48" applyFont="1"/>
    <xf numFmtId="0" fontId="12" fillId="0" borderId="0" xfId="48" applyFont="1" applyAlignment="1">
      <alignment wrapText="1"/>
    </xf>
    <xf numFmtId="0" fontId="9" fillId="0" borderId="0" xfId="48" applyFont="1" applyAlignment="1">
      <alignment horizontal="center" wrapText="1"/>
    </xf>
    <xf numFmtId="49" fontId="5" fillId="0" borderId="0" xfId="48" applyNumberFormat="1" applyFont="1" applyAlignment="1">
      <alignment horizontal="right"/>
    </xf>
    <xf numFmtId="0" fontId="9" fillId="0" borderId="0" xfId="48" applyFont="1"/>
    <xf numFmtId="49" fontId="31" fillId="0" borderId="0" xfId="48" applyNumberFormat="1" applyFont="1" applyAlignment="1">
      <alignment horizontal="center" wrapText="1"/>
    </xf>
    <xf numFmtId="0" fontId="31" fillId="0" borderId="0" xfId="48" applyFont="1" applyAlignment="1">
      <alignment horizontal="center" wrapText="1"/>
    </xf>
    <xf numFmtId="49" fontId="5" fillId="0" borderId="0" xfId="48" applyNumberFormat="1"/>
    <xf numFmtId="10" fontId="5" fillId="0" borderId="0" xfId="48" applyNumberFormat="1"/>
    <xf numFmtId="0" fontId="9" fillId="0" borderId="0" xfId="0" applyFont="1" applyFill="1" applyAlignment="1">
      <alignment horizontal="center" wrapText="1"/>
    </xf>
    <xf numFmtId="49" fontId="9" fillId="0" borderId="0" xfId="0" applyNumberFormat="1" applyFont="1" applyFill="1" applyAlignment="1">
      <alignment horizontal="center" wrapText="1"/>
    </xf>
    <xf numFmtId="14" fontId="6" fillId="0" borderId="0" xfId="0" applyNumberFormat="1" applyFont="1" applyFill="1" applyBorder="1" applyAlignment="1">
      <alignment horizontal="center" wrapText="1"/>
    </xf>
    <xf numFmtId="44" fontId="6" fillId="0" borderId="0" xfId="0" applyNumberFormat="1" applyFont="1" applyBorder="1" applyAlignment="1">
      <alignment horizontal="center" wrapText="1"/>
    </xf>
    <xf numFmtId="0" fontId="30" fillId="0" borderId="0" xfId="48" applyFont="1" applyAlignment="1">
      <alignment horizontal="center"/>
    </xf>
    <xf numFmtId="0" fontId="30" fillId="0" borderId="0" xfId="48" applyFont="1"/>
    <xf numFmtId="177" fontId="0" fillId="0" borderId="0" xfId="0" applyNumberFormat="1" applyAlignment="1">
      <alignment horizontal="left"/>
    </xf>
    <xf numFmtId="0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44" fontId="8" fillId="0" borderId="1" xfId="0" applyNumberFormat="1" applyFont="1" applyFill="1" applyBorder="1" applyAlignment="1">
      <alignment horizontal="center" vertical="center"/>
    </xf>
    <xf numFmtId="178" fontId="9" fillId="9" borderId="0" xfId="0" applyNumberFormat="1" applyFont="1" applyFill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9" fillId="9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/>
    </xf>
    <xf numFmtId="178" fontId="0" fillId="0" borderId="0" xfId="0" applyNumberFormat="1"/>
    <xf numFmtId="0" fontId="33" fillId="0" borderId="0" xfId="0" applyFont="1" applyAlignment="1">
      <alignment horizontal="justify" vertical="center"/>
    </xf>
    <xf numFmtId="49" fontId="8" fillId="9" borderId="1" xfId="0" applyNumberFormat="1" applyFont="1" applyFill="1" applyBorder="1" applyAlignment="1">
      <alignment horizontal="center" vertical="center"/>
    </xf>
    <xf numFmtId="14" fontId="8" fillId="9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4" fontId="8" fillId="1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49" fontId="8" fillId="9" borderId="2" xfId="0" applyNumberFormat="1" applyFont="1" applyFill="1" applyBorder="1" applyAlignment="1">
      <alignment horizontal="center" vertical="center" textRotation="90"/>
    </xf>
    <xf numFmtId="164" fontId="10" fillId="9" borderId="2" xfId="0" applyNumberFormat="1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left" vertical="center" wrapText="1"/>
    </xf>
    <xf numFmtId="49" fontId="10" fillId="9" borderId="2" xfId="0" applyNumberFormat="1" applyFont="1" applyFill="1" applyBorder="1" applyAlignment="1">
      <alignment horizontal="center" vertical="center" wrapText="1"/>
    </xf>
    <xf numFmtId="164" fontId="10" fillId="9" borderId="2" xfId="0" applyNumberFormat="1" applyFont="1" applyFill="1" applyBorder="1" applyAlignment="1">
      <alignment horizontal="left" vertical="center" wrapText="1"/>
    </xf>
    <xf numFmtId="0" fontId="10" fillId="9" borderId="2" xfId="0" applyNumberFormat="1" applyFont="1" applyFill="1" applyBorder="1" applyAlignment="1">
      <alignment horizontal="center" vertical="center"/>
    </xf>
    <xf numFmtId="44" fontId="10" fillId="9" borderId="2" xfId="0" applyNumberFormat="1" applyFont="1" applyFill="1" applyBorder="1" applyAlignment="1">
      <alignment vertical="center"/>
    </xf>
    <xf numFmtId="9" fontId="10" fillId="9" borderId="2" xfId="0" applyNumberFormat="1" applyFont="1" applyFill="1" applyBorder="1" applyAlignment="1">
      <alignment horizontal="center" vertical="center"/>
    </xf>
    <xf numFmtId="164" fontId="10" fillId="9" borderId="1" xfId="0" applyNumberFormat="1" applyFont="1" applyFill="1" applyBorder="1" applyAlignment="1">
      <alignment vertical="center"/>
    </xf>
    <xf numFmtId="0" fontId="10" fillId="9" borderId="1" xfId="0" applyFont="1" applyFill="1" applyBorder="1" applyAlignment="1">
      <alignment vertical="center" wrapText="1"/>
    </xf>
    <xf numFmtId="44" fontId="10" fillId="9" borderId="1" xfId="0" applyNumberFormat="1" applyFont="1" applyFill="1" applyBorder="1"/>
    <xf numFmtId="0" fontId="7" fillId="9" borderId="0" xfId="0" applyFont="1" applyFill="1" applyBorder="1" applyAlignment="1">
      <alignment horizontal="center" wrapText="1"/>
    </xf>
    <xf numFmtId="0" fontId="8" fillId="9" borderId="1" xfId="0" applyFont="1" applyFill="1" applyBorder="1" applyAlignment="1">
      <alignment horizontal="center" vertical="center" wrapText="1"/>
    </xf>
    <xf numFmtId="165" fontId="8" fillId="9" borderId="1" xfId="0" applyNumberFormat="1" applyFont="1" applyFill="1" applyBorder="1" applyAlignment="1">
      <alignment horizontal="center" vertical="center"/>
    </xf>
    <xf numFmtId="0" fontId="10" fillId="9" borderId="0" xfId="0" applyFont="1" applyFill="1"/>
    <xf numFmtId="49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0" fontId="31" fillId="0" borderId="0" xfId="0" applyNumberFormat="1" applyFont="1" applyAlignment="1">
      <alignment wrapText="1"/>
    </xf>
    <xf numFmtId="2" fontId="5" fillId="0" borderId="0" xfId="1" applyNumberFormat="1"/>
    <xf numFmtId="0" fontId="7" fillId="0" borderId="0" xfId="48" applyFont="1" applyAlignment="1">
      <alignment horizontal="center"/>
    </xf>
    <xf numFmtId="44" fontId="7" fillId="0" borderId="0" xfId="48" applyNumberFormat="1" applyFont="1" applyAlignment="1">
      <alignment horizontal="center"/>
    </xf>
    <xf numFmtId="0" fontId="7" fillId="0" borderId="0" xfId="48" applyFont="1"/>
    <xf numFmtId="0" fontId="7" fillId="0" borderId="0" xfId="48" applyFont="1" applyAlignment="1">
      <alignment vertical="center" wrapText="1"/>
    </xf>
    <xf numFmtId="44" fontId="7" fillId="0" borderId="0" xfId="48" applyNumberFormat="1" applyFont="1"/>
    <xf numFmtId="0" fontId="6" fillId="0" borderId="0" xfId="48" applyFont="1" applyAlignment="1">
      <alignment vertical="center"/>
    </xf>
    <xf numFmtId="0" fontId="6" fillId="0" borderId="0" xfId="48" applyFont="1"/>
    <xf numFmtId="44" fontId="6" fillId="0" borderId="0" xfId="48" applyNumberFormat="1" applyFont="1"/>
    <xf numFmtId="0" fontId="37" fillId="9" borderId="0" xfId="48" applyFont="1" applyFill="1" applyAlignment="1">
      <alignment vertical="center"/>
    </xf>
    <xf numFmtId="0" fontId="7" fillId="9" borderId="0" xfId="48" applyFont="1" applyFill="1"/>
    <xf numFmtId="44" fontId="7" fillId="9" borderId="0" xfId="48" applyNumberFormat="1" applyFont="1" applyFill="1"/>
    <xf numFmtId="9" fontId="7" fillId="0" borderId="0" xfId="48" applyNumberFormat="1" applyFont="1"/>
    <xf numFmtId="0" fontId="7" fillId="0" borderId="0" xfId="48" applyFont="1" applyFill="1"/>
    <xf numFmtId="44" fontId="7" fillId="0" borderId="0" xfId="48" applyNumberFormat="1" applyFont="1" applyFill="1"/>
    <xf numFmtId="0" fontId="38" fillId="0" borderId="0" xfId="48" applyFont="1" applyAlignment="1">
      <alignment vertical="center"/>
    </xf>
    <xf numFmtId="0" fontId="7" fillId="0" borderId="0" xfId="48" applyFont="1" applyAlignment="1">
      <alignment vertical="center"/>
    </xf>
    <xf numFmtId="0" fontId="6" fillId="0" borderId="0" xfId="48" applyFont="1" applyAlignment="1">
      <alignment horizontal="left" vertical="center"/>
    </xf>
    <xf numFmtId="0" fontId="6" fillId="0" borderId="0" xfId="48" applyFont="1" applyFill="1" applyAlignment="1">
      <alignment vertical="center"/>
    </xf>
    <xf numFmtId="1" fontId="10" fillId="0" borderId="0" xfId="0" applyNumberFormat="1" applyFont="1" applyBorder="1" applyAlignment="1">
      <alignment horizont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10" fillId="9" borderId="1" xfId="0" applyNumberFormat="1" applyFont="1" applyFill="1" applyBorder="1" applyAlignment="1">
      <alignment vertical="center" wrapText="1"/>
    </xf>
    <xf numFmtId="1" fontId="8" fillId="0" borderId="0" xfId="0" applyNumberFormat="1" applyFont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44" fontId="7" fillId="0" borderId="0" xfId="59" applyFont="1"/>
    <xf numFmtId="165" fontId="8" fillId="0" borderId="1" xfId="0" applyNumberFormat="1" applyFont="1" applyFill="1" applyBorder="1" applyAlignment="1">
      <alignment horizontal="center" vertical="center"/>
    </xf>
    <xf numFmtId="0" fontId="36" fillId="0" borderId="0" xfId="48" applyFont="1"/>
    <xf numFmtId="44" fontId="8" fillId="0" borderId="1" xfId="0" applyNumberFormat="1" applyFont="1" applyFill="1" applyBorder="1" applyAlignment="1">
      <alignment vertical="center"/>
    </xf>
    <xf numFmtId="0" fontId="6" fillId="0" borderId="0" xfId="48" applyFont="1" applyAlignment="1">
      <alignment horizontal="center"/>
    </xf>
    <xf numFmtId="49" fontId="7" fillId="0" borderId="0" xfId="48" applyNumberFormat="1" applyFont="1" applyAlignment="1">
      <alignment horizontal="center"/>
    </xf>
    <xf numFmtId="44" fontId="7" fillId="0" borderId="0" xfId="0" applyNumberFormat="1" applyFont="1" applyBorder="1" applyAlignment="1">
      <alignment horizontal="center"/>
    </xf>
    <xf numFmtId="0" fontId="7" fillId="0" borderId="0" xfId="0" applyFont="1"/>
    <xf numFmtId="0" fontId="40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44" fontId="7" fillId="0" borderId="0" xfId="59" applyFont="1" applyAlignment="1">
      <alignment horizontal="center"/>
    </xf>
    <xf numFmtId="164" fontId="7" fillId="0" borderId="0" xfId="0" applyNumberFormat="1" applyFont="1"/>
    <xf numFmtId="164" fontId="40" fillId="0" borderId="0" xfId="0" applyNumberFormat="1" applyFont="1"/>
    <xf numFmtId="0" fontId="6" fillId="0" borderId="0" xfId="0" applyFont="1" applyAlignment="1">
      <alignment horizontal="right"/>
    </xf>
    <xf numFmtId="44" fontId="6" fillId="0" borderId="0" xfId="59" applyFont="1"/>
    <xf numFmtId="0" fontId="6" fillId="0" borderId="0" xfId="0" applyFont="1" applyAlignment="1">
      <alignment horizontal="center"/>
    </xf>
    <xf numFmtId="44" fontId="6" fillId="0" borderId="0" xfId="59" applyFont="1" applyAlignment="1">
      <alignment horizontal="center"/>
    </xf>
    <xf numFmtId="0" fontId="7" fillId="0" borderId="0" xfId="0" applyFont="1" applyAlignment="1">
      <alignment wrapText="1"/>
    </xf>
    <xf numFmtId="164" fontId="6" fillId="0" borderId="0" xfId="0" applyNumberFormat="1" applyFont="1"/>
    <xf numFmtId="164" fontId="7" fillId="0" borderId="0" xfId="0" applyNumberFormat="1" applyFont="1" applyAlignment="1">
      <alignment vertical="center"/>
    </xf>
    <xf numFmtId="0" fontId="6" fillId="0" borderId="0" xfId="48" applyFont="1" applyAlignment="1">
      <alignment wrapText="1"/>
    </xf>
    <xf numFmtId="0" fontId="6" fillId="0" borderId="0" xfId="48" applyFont="1" applyAlignment="1">
      <alignment horizontal="center" wrapText="1"/>
    </xf>
    <xf numFmtId="44" fontId="6" fillId="0" borderId="0" xfId="48" applyNumberFormat="1" applyFont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44" fontId="7" fillId="0" borderId="0" xfId="0" applyNumberFormat="1" applyFont="1"/>
    <xf numFmtId="177" fontId="6" fillId="0" borderId="0" xfId="0" applyNumberFormat="1" applyFont="1" applyAlignment="1">
      <alignment horizontal="left"/>
    </xf>
    <xf numFmtId="44" fontId="6" fillId="0" borderId="0" xfId="0" applyNumberFormat="1" applyFont="1" applyAlignment="1">
      <alignment horizontal="center"/>
    </xf>
    <xf numFmtId="2" fontId="7" fillId="0" borderId="0" xfId="0" applyNumberFormat="1" applyFont="1"/>
    <xf numFmtId="2" fontId="7" fillId="0" borderId="0" xfId="48" applyNumberFormat="1" applyFont="1"/>
    <xf numFmtId="2" fontId="8" fillId="10" borderId="0" xfId="0" applyNumberFormat="1" applyFont="1" applyFill="1" applyAlignment="1">
      <alignment horizontal="center" wrapText="1"/>
    </xf>
    <xf numFmtId="0" fontId="8" fillId="10" borderId="0" xfId="0" applyFont="1" applyFill="1" applyAlignment="1">
      <alignment horizontal="center" wrapText="1"/>
    </xf>
    <xf numFmtId="0" fontId="8" fillId="10" borderId="0" xfId="0" applyFont="1" applyFill="1" applyAlignment="1">
      <alignment horizontal="center"/>
    </xf>
    <xf numFmtId="0" fontId="33" fillId="0" borderId="0" xfId="0" applyFont="1"/>
    <xf numFmtId="0" fontId="41" fillId="0" borderId="0" xfId="0" applyFont="1" applyAlignment="1">
      <alignment vertical="center"/>
    </xf>
    <xf numFmtId="0" fontId="42" fillId="0" borderId="0" xfId="60" applyAlignment="1">
      <alignment horizontal="justify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textRotation="90" wrapText="1"/>
    </xf>
    <xf numFmtId="49" fontId="8" fillId="0" borderId="4" xfId="0" applyNumberFormat="1" applyFont="1" applyBorder="1" applyAlignment="1">
      <alignment horizontal="center" vertical="center" textRotation="90" wrapText="1"/>
    </xf>
    <xf numFmtId="49" fontId="34" fillId="0" borderId="0" xfId="48" applyNumberFormat="1" applyFont="1" applyAlignment="1">
      <alignment horizontal="center" vertical="center" wrapText="1"/>
    </xf>
    <xf numFmtId="49" fontId="31" fillId="0" borderId="0" xfId="48" applyNumberFormat="1" applyFont="1" applyAlignment="1">
      <alignment horizontal="center" vertical="center" wrapText="1"/>
    </xf>
  </cellXfs>
  <cellStyles count="61">
    <cellStyle name="args.style" xfId="2"/>
    <cellStyle name="AutoFormat Options" xfId="3"/>
    <cellStyle name="Border" xfId="4"/>
    <cellStyle name="Calc Currency (0)" xfId="5"/>
    <cellStyle name="Comma 2" xfId="54"/>
    <cellStyle name="Comma 3" xfId="57"/>
    <cellStyle name="Copied" xfId="6"/>
    <cellStyle name="COST1" xfId="7"/>
    <cellStyle name="Currency" xfId="59" builtinId="4"/>
    <cellStyle name="Currency 2" xfId="47"/>
    <cellStyle name="Currency 3" xfId="49"/>
    <cellStyle name="Currency 4" xfId="55"/>
    <cellStyle name="Dezimal [0]_Compiling Utility Macros" xfId="8"/>
    <cellStyle name="Dezimal_Compiling Utility Macros" xfId="9"/>
    <cellStyle name="Entered" xfId="10"/>
    <cellStyle name="Grey" xfId="11"/>
    <cellStyle name="Header1" xfId="12"/>
    <cellStyle name="Header2" xfId="13"/>
    <cellStyle name="HEADINGS" xfId="14"/>
    <cellStyle name="HEADINGSTOP" xfId="15"/>
    <cellStyle name="Hyperlink" xfId="60" builtinId="8"/>
    <cellStyle name="Input [yellow]" xfId="16"/>
    <cellStyle name="Input Cells" xfId="17"/>
    <cellStyle name="Jun" xfId="18"/>
    <cellStyle name="Linked Cells" xfId="19"/>
    <cellStyle name="Milliers [0]_!!!GO" xfId="20"/>
    <cellStyle name="Milliers_!!!GO" xfId="21"/>
    <cellStyle name="Monétaire [0]_!!!GO" xfId="22"/>
    <cellStyle name="Monétaire_!!!GO" xfId="23"/>
    <cellStyle name="Normal" xfId="0" builtinId="0"/>
    <cellStyle name="Normal - Style1" xfId="24"/>
    <cellStyle name="Normal 10" xfId="56"/>
    <cellStyle name="Normal 2" xfId="25"/>
    <cellStyle name="Normal 2 2" xfId="26"/>
    <cellStyle name="Normal 2 2 2" xfId="58"/>
    <cellStyle name="Normal 2 3" xfId="48"/>
    <cellStyle name="Normal 3" xfId="27"/>
    <cellStyle name="Normal 3 2" xfId="51"/>
    <cellStyle name="Normal 4" xfId="44"/>
    <cellStyle name="Normal 5" xfId="45"/>
    <cellStyle name="Normal 6" xfId="46"/>
    <cellStyle name="Normal 7" xfId="50"/>
    <cellStyle name="Normal 8" xfId="52"/>
    <cellStyle name="Normal 9" xfId="53"/>
    <cellStyle name="Œ…‹æØ‚è [0.00]_Region Orders (2)" xfId="28"/>
    <cellStyle name="Œ…‹æØ‚è_Region Orders (2)" xfId="29"/>
    <cellStyle name="per.style" xfId="30"/>
    <cellStyle name="Percent" xfId="1" builtinId="5"/>
    <cellStyle name="Percent [2]" xfId="31"/>
    <cellStyle name="pricing" xfId="32"/>
    <cellStyle name="PSChar" xfId="33"/>
    <cellStyle name="regstoresfromspecstores" xfId="34"/>
    <cellStyle name="RevList" xfId="35"/>
    <cellStyle name="SHADEDSTORES" xfId="36"/>
    <cellStyle name="specstores" xfId="37"/>
    <cellStyle name="Standard_Anpassen der Amortisation" xfId="38"/>
    <cellStyle name="Subtotal" xfId="39"/>
    <cellStyle name="SubTotal1Num" xfId="40"/>
    <cellStyle name="SubTotal1Text" xfId="41"/>
    <cellStyle name="Währung [0]_Compiling Utility Macros" xfId="42"/>
    <cellStyle name="Währung_Compiling Utility Macros" xfId="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"/>
  <sheetViews>
    <sheetView tabSelected="1" zoomScaleNormal="100" workbookViewId="0">
      <selection activeCell="J2" sqref="J2"/>
    </sheetView>
  </sheetViews>
  <sheetFormatPr defaultColWidth="15.85546875" defaultRowHeight="12.75"/>
  <cols>
    <col min="1" max="1" width="4.42578125" style="3" customWidth="1"/>
    <col min="2" max="2" width="3.5703125" style="3" customWidth="1"/>
    <col min="3" max="3" width="6.7109375" style="5" customWidth="1"/>
    <col min="4" max="4" width="12.5703125" customWidth="1"/>
    <col min="5" max="9" width="7.42578125" style="4" hidden="1" customWidth="1"/>
    <col min="10" max="10" width="7.42578125" style="4" customWidth="1"/>
    <col min="11" max="11" width="9.7109375" customWidth="1"/>
    <col min="12" max="12" width="9" customWidth="1"/>
    <col min="13" max="13" width="12.5703125" style="32" customWidth="1"/>
    <col min="14" max="14" width="5.5703125" customWidth="1"/>
    <col min="15" max="15" width="12.5703125" style="32" customWidth="1"/>
    <col min="16" max="16" width="10.7109375" style="32" customWidth="1"/>
    <col min="17" max="17" width="10.7109375" style="1" hidden="1" customWidth="1"/>
    <col min="18" max="20" width="19.7109375" style="6" hidden="1" customWidth="1"/>
    <col min="21" max="21" width="34.28515625" style="6" hidden="1" customWidth="1"/>
    <col min="22" max="22" width="7" style="109" customWidth="1"/>
    <col min="23" max="23" width="13.140625" style="32" customWidth="1"/>
    <col min="24" max="24" width="2" style="8" customWidth="1"/>
    <col min="25" max="26" width="6.7109375" style="9" hidden="1" customWidth="1"/>
    <col min="27" max="27" width="8.5703125" style="9" customWidth="1"/>
    <col min="28" max="28" width="8" style="11" customWidth="1"/>
    <col min="29" max="29" width="17.28515625" style="11" hidden="1" customWidth="1"/>
    <col min="30" max="30" width="9.5703125" style="11" hidden="1" customWidth="1"/>
    <col min="31" max="31" width="8" style="11" hidden="1" customWidth="1"/>
    <col min="32" max="33" width="9.7109375" style="10" customWidth="1"/>
  </cols>
  <sheetData>
    <row r="1" spans="1:34" s="21" customFormat="1" ht="61.5" customHeight="1">
      <c r="A1" s="17" t="s">
        <v>5</v>
      </c>
      <c r="B1" s="17"/>
      <c r="C1" s="18" t="s">
        <v>6</v>
      </c>
      <c r="D1" s="18" t="s">
        <v>2</v>
      </c>
      <c r="E1" s="18" t="s">
        <v>92</v>
      </c>
      <c r="F1" s="18" t="s">
        <v>90</v>
      </c>
      <c r="G1" s="18" t="s">
        <v>94</v>
      </c>
      <c r="H1" s="18" t="s">
        <v>102</v>
      </c>
      <c r="I1" s="18" t="s">
        <v>123</v>
      </c>
      <c r="J1" s="18" t="s">
        <v>132</v>
      </c>
      <c r="K1" s="18" t="s">
        <v>131</v>
      </c>
      <c r="L1" s="18" t="s">
        <v>1</v>
      </c>
      <c r="M1" s="31" t="s">
        <v>130</v>
      </c>
      <c r="N1" s="19" t="s">
        <v>7</v>
      </c>
      <c r="O1" s="31" t="s">
        <v>13</v>
      </c>
      <c r="P1" s="31" t="s">
        <v>8</v>
      </c>
      <c r="Q1" s="18" t="s">
        <v>9</v>
      </c>
      <c r="R1" s="20" t="s">
        <v>104</v>
      </c>
      <c r="S1" s="20" t="s">
        <v>124</v>
      </c>
      <c r="T1" s="20" t="s">
        <v>133</v>
      </c>
      <c r="U1" s="20" t="s">
        <v>139</v>
      </c>
      <c r="V1" s="106" t="s">
        <v>163</v>
      </c>
      <c r="W1" s="47" t="s">
        <v>10</v>
      </c>
      <c r="X1" s="7"/>
      <c r="Y1" s="25" t="s">
        <v>135</v>
      </c>
      <c r="Z1" s="25" t="s">
        <v>136</v>
      </c>
      <c r="AA1" s="44" t="s">
        <v>22</v>
      </c>
      <c r="AB1" s="45" t="s">
        <v>23</v>
      </c>
      <c r="AC1" s="45" t="s">
        <v>24</v>
      </c>
      <c r="AD1" s="45" t="s">
        <v>95</v>
      </c>
      <c r="AE1" s="45" t="s">
        <v>98</v>
      </c>
      <c r="AF1" s="46" t="s">
        <v>25</v>
      </c>
      <c r="AG1" s="46" t="s">
        <v>26</v>
      </c>
    </row>
    <row r="2" spans="1:34" s="23" customFormat="1" ht="50.1" customHeight="1">
      <c r="A2" s="13">
        <v>1.1000000000000001</v>
      </c>
      <c r="B2" s="158" t="s">
        <v>218</v>
      </c>
      <c r="C2" s="14" t="s">
        <v>4</v>
      </c>
      <c r="D2" s="14" t="s">
        <v>12</v>
      </c>
      <c r="E2" s="15" t="s">
        <v>62</v>
      </c>
      <c r="F2" s="15" t="s">
        <v>93</v>
      </c>
      <c r="G2" s="15" t="s">
        <v>99</v>
      </c>
      <c r="H2" s="15" t="s">
        <v>108</v>
      </c>
      <c r="I2" s="15" t="s">
        <v>128</v>
      </c>
      <c r="J2" s="15" t="s">
        <v>164</v>
      </c>
      <c r="K2" s="51" t="s">
        <v>103</v>
      </c>
      <c r="L2" s="51">
        <v>143030766</v>
      </c>
      <c r="M2" s="55">
        <f>+W2*12</f>
        <v>81623.549999999988</v>
      </c>
      <c r="N2" s="52">
        <v>0.7</v>
      </c>
      <c r="O2" s="55">
        <f>+M2*N2</f>
        <v>57136.484999999986</v>
      </c>
      <c r="P2" s="55">
        <f>+M2-O2</f>
        <v>24487.065000000002</v>
      </c>
      <c r="Q2" s="53"/>
      <c r="R2" s="54" t="s">
        <v>110</v>
      </c>
      <c r="S2" s="54" t="s">
        <v>125</v>
      </c>
      <c r="T2" s="66" t="s">
        <v>134</v>
      </c>
      <c r="U2" s="54" t="s">
        <v>146</v>
      </c>
      <c r="V2" s="107">
        <v>700</v>
      </c>
      <c r="W2" s="116">
        <v>6801.9624999999996</v>
      </c>
      <c r="X2" s="7"/>
      <c r="Y2" s="22" t="s">
        <v>91</v>
      </c>
      <c r="Z2" s="22" t="s">
        <v>91</v>
      </c>
      <c r="AA2" s="114" t="s">
        <v>27</v>
      </c>
      <c r="AB2" s="84" t="s">
        <v>137</v>
      </c>
      <c r="AC2" s="84" t="s">
        <v>138</v>
      </c>
      <c r="AD2" s="85">
        <v>42048</v>
      </c>
      <c r="AE2" s="84" t="s">
        <v>172</v>
      </c>
      <c r="AF2" s="85">
        <v>42108</v>
      </c>
      <c r="AG2" s="85">
        <v>43934</v>
      </c>
    </row>
    <row r="3" spans="1:34" s="23" customFormat="1" ht="50.1" customHeight="1">
      <c r="A3" s="13">
        <v>1.2</v>
      </c>
      <c r="B3" s="159"/>
      <c r="C3" s="14" t="s">
        <v>4</v>
      </c>
      <c r="D3" s="16" t="s">
        <v>11</v>
      </c>
      <c r="E3" s="16">
        <v>2023097</v>
      </c>
      <c r="F3" s="16">
        <v>2198543</v>
      </c>
      <c r="G3" s="16">
        <v>2278510</v>
      </c>
      <c r="H3" s="16">
        <v>2456326</v>
      </c>
      <c r="I3" s="16">
        <v>2597717</v>
      </c>
      <c r="J3" s="16">
        <v>2765466</v>
      </c>
      <c r="K3" s="51" t="s">
        <v>103</v>
      </c>
      <c r="L3" s="51">
        <v>143030766</v>
      </c>
      <c r="M3" s="55">
        <f>+W3*12</f>
        <v>353892.16800000001</v>
      </c>
      <c r="N3" s="52">
        <v>0.9</v>
      </c>
      <c r="O3" s="55">
        <f>+M3*N3</f>
        <v>318502.95120000001</v>
      </c>
      <c r="P3" s="55">
        <f>+M3-O3</f>
        <v>35389.216799999995</v>
      </c>
      <c r="Q3" s="53"/>
      <c r="R3" s="54" t="s">
        <v>109</v>
      </c>
      <c r="S3" s="54" t="s">
        <v>125</v>
      </c>
      <c r="T3" s="54" t="s">
        <v>141</v>
      </c>
      <c r="U3" s="54" t="s">
        <v>147</v>
      </c>
      <c r="V3" s="107">
        <v>35</v>
      </c>
      <c r="W3" s="116">
        <v>29491.013999999999</v>
      </c>
      <c r="X3" s="7"/>
      <c r="Y3" s="22" t="s">
        <v>91</v>
      </c>
      <c r="Z3" s="22" t="s">
        <v>91</v>
      </c>
      <c r="AA3" s="114" t="s">
        <v>27</v>
      </c>
      <c r="AB3" s="84" t="s">
        <v>137</v>
      </c>
      <c r="AC3" s="84" t="s">
        <v>138</v>
      </c>
      <c r="AD3" s="85">
        <v>42048</v>
      </c>
      <c r="AE3" s="84" t="s">
        <v>172</v>
      </c>
      <c r="AF3" s="85">
        <v>42108</v>
      </c>
      <c r="AG3" s="85">
        <v>43934</v>
      </c>
    </row>
    <row r="4" spans="1:34" s="23" customFormat="1" ht="30" customHeight="1">
      <c r="A4" s="154">
        <v>1.3</v>
      </c>
      <c r="B4" s="159"/>
      <c r="C4" s="156" t="s">
        <v>4</v>
      </c>
      <c r="D4" s="110" t="s">
        <v>165</v>
      </c>
      <c r="E4" s="16">
        <v>2023100</v>
      </c>
      <c r="F4" s="16">
        <v>2198558</v>
      </c>
      <c r="G4" s="16">
        <v>2278521</v>
      </c>
      <c r="H4" s="16">
        <v>2498871</v>
      </c>
      <c r="I4" s="16">
        <v>2597722</v>
      </c>
      <c r="J4" s="112">
        <v>2765468</v>
      </c>
      <c r="K4" s="150" t="s">
        <v>21</v>
      </c>
      <c r="L4" s="152">
        <v>143011191</v>
      </c>
      <c r="M4" s="55">
        <f>+W4*12</f>
        <v>49024.911599999999</v>
      </c>
      <c r="N4" s="52">
        <v>0.7</v>
      </c>
      <c r="O4" s="55">
        <f>+M4*N4</f>
        <v>34317.438119999999</v>
      </c>
      <c r="P4" s="55">
        <f>+M4-O4</f>
        <v>14707.473480000001</v>
      </c>
      <c r="Q4" s="53"/>
      <c r="R4" s="54" t="s">
        <v>105</v>
      </c>
      <c r="S4" s="54" t="s">
        <v>126</v>
      </c>
      <c r="T4" s="66" t="s">
        <v>142</v>
      </c>
      <c r="U4" s="54" t="s">
        <v>148</v>
      </c>
      <c r="V4" s="107">
        <v>150</v>
      </c>
      <c r="W4" s="116">
        <v>4085.4092999999998</v>
      </c>
      <c r="X4" s="7"/>
      <c r="Y4" s="22" t="s">
        <v>91</v>
      </c>
      <c r="Z4" s="22" t="s">
        <v>91</v>
      </c>
      <c r="AA4" s="114" t="s">
        <v>27</v>
      </c>
      <c r="AB4" s="84" t="s">
        <v>137</v>
      </c>
      <c r="AC4" s="84" t="s">
        <v>138</v>
      </c>
      <c r="AD4" s="85">
        <v>42048</v>
      </c>
      <c r="AE4" s="84" t="s">
        <v>173</v>
      </c>
      <c r="AF4" s="85">
        <v>42107</v>
      </c>
      <c r="AG4" s="85">
        <v>42916</v>
      </c>
      <c r="AH4" s="22" t="s">
        <v>198</v>
      </c>
    </row>
    <row r="5" spans="1:34" s="23" customFormat="1" ht="30" customHeight="1">
      <c r="A5" s="155"/>
      <c r="B5" s="159"/>
      <c r="C5" s="157"/>
      <c r="D5" s="111" t="s">
        <v>166</v>
      </c>
      <c r="E5" s="16">
        <v>2023100</v>
      </c>
      <c r="F5" s="16">
        <v>2198558</v>
      </c>
      <c r="G5" s="16">
        <v>2278521</v>
      </c>
      <c r="H5" s="16">
        <v>2498871</v>
      </c>
      <c r="I5" s="16"/>
      <c r="J5" s="24" t="s">
        <v>28</v>
      </c>
      <c r="K5" s="151"/>
      <c r="L5" s="153"/>
      <c r="M5" s="55">
        <f>+W5*12</f>
        <v>51025.928400000004</v>
      </c>
      <c r="N5" s="52">
        <v>0</v>
      </c>
      <c r="O5" s="55">
        <f>+M5*N5</f>
        <v>0</v>
      </c>
      <c r="P5" s="55">
        <f>+M5-O5</f>
        <v>51025.928400000004</v>
      </c>
      <c r="Q5" s="53"/>
      <c r="R5" s="54" t="s">
        <v>105</v>
      </c>
      <c r="S5" s="54" t="s">
        <v>126</v>
      </c>
      <c r="T5" s="66" t="s">
        <v>142</v>
      </c>
      <c r="U5" s="54" t="s">
        <v>148</v>
      </c>
      <c r="V5" s="107">
        <v>150</v>
      </c>
      <c r="W5" s="116">
        <v>4252.1607000000004</v>
      </c>
      <c r="X5" s="7"/>
      <c r="Y5" s="22" t="s">
        <v>91</v>
      </c>
      <c r="Z5" s="22" t="s">
        <v>91</v>
      </c>
      <c r="AA5" s="114" t="s">
        <v>27</v>
      </c>
      <c r="AB5" s="84" t="s">
        <v>137</v>
      </c>
      <c r="AC5" s="84" t="s">
        <v>138</v>
      </c>
      <c r="AD5" s="85">
        <v>42048</v>
      </c>
      <c r="AE5" s="84" t="s">
        <v>174</v>
      </c>
      <c r="AF5" s="85">
        <v>42107</v>
      </c>
      <c r="AG5" s="85">
        <v>42916</v>
      </c>
      <c r="AH5" s="22"/>
    </row>
    <row r="6" spans="1:34" s="2" customFormat="1" ht="30" customHeight="1">
      <c r="A6" s="68"/>
      <c r="B6" s="69"/>
      <c r="C6" s="70"/>
      <c r="D6" s="71" t="s">
        <v>199</v>
      </c>
      <c r="E6" s="72"/>
      <c r="F6" s="72"/>
      <c r="G6" s="72"/>
      <c r="H6" s="72"/>
      <c r="I6" s="72"/>
      <c r="J6" s="72"/>
      <c r="K6" s="73"/>
      <c r="L6" s="74"/>
      <c r="M6" s="75">
        <f>SUM(M2:M5)</f>
        <v>535566.55799999996</v>
      </c>
      <c r="N6" s="76"/>
      <c r="O6" s="75">
        <f>SUM(O2:O5)</f>
        <v>409956.87432</v>
      </c>
      <c r="P6" s="75">
        <f>SUM(P2:P5)</f>
        <v>125609.68368</v>
      </c>
      <c r="Q6" s="77">
        <f>SUM(Q2:Q4)</f>
        <v>0</v>
      </c>
      <c r="R6" s="78"/>
      <c r="S6" s="78"/>
      <c r="T6" s="78"/>
      <c r="U6" s="78"/>
      <c r="V6" s="108"/>
      <c r="W6" s="79"/>
      <c r="X6" s="80"/>
      <c r="Y6" s="81" t="s">
        <v>0</v>
      </c>
      <c r="Z6" s="81" t="s">
        <v>0</v>
      </c>
      <c r="AA6" s="82" t="s">
        <v>0</v>
      </c>
      <c r="AB6" s="62" t="s">
        <v>0</v>
      </c>
      <c r="AC6" s="62" t="s">
        <v>0</v>
      </c>
      <c r="AD6" s="62"/>
      <c r="AE6" s="62" t="s">
        <v>0</v>
      </c>
      <c r="AF6" s="63" t="s">
        <v>0</v>
      </c>
      <c r="AG6" s="63" t="s">
        <v>0</v>
      </c>
      <c r="AH6" s="83"/>
    </row>
    <row r="7" spans="1:34" s="23" customFormat="1" ht="50.1" customHeight="1">
      <c r="A7" s="13">
        <v>2.1</v>
      </c>
      <c r="B7" s="158" t="s">
        <v>219</v>
      </c>
      <c r="C7" s="14" t="s">
        <v>140</v>
      </c>
      <c r="D7" s="14" t="s">
        <v>144</v>
      </c>
      <c r="E7" s="15"/>
      <c r="F7" s="15"/>
      <c r="G7" s="15"/>
      <c r="H7" s="15"/>
      <c r="I7" s="15"/>
      <c r="J7" s="15" t="s">
        <v>196</v>
      </c>
      <c r="K7" s="51" t="s">
        <v>171</v>
      </c>
      <c r="L7" s="51">
        <v>143006937</v>
      </c>
      <c r="M7" s="55">
        <v>495506.5</v>
      </c>
      <c r="N7" s="52">
        <v>0.85</v>
      </c>
      <c r="O7" s="55">
        <f>+M7*N7</f>
        <v>421180.52499999997</v>
      </c>
      <c r="P7" s="55">
        <f>+M7-O7</f>
        <v>74325.975000000035</v>
      </c>
      <c r="Q7" s="53"/>
      <c r="R7" s="54" t="s">
        <v>110</v>
      </c>
      <c r="S7" s="54" t="s">
        <v>125</v>
      </c>
      <c r="T7" s="66" t="s">
        <v>143</v>
      </c>
      <c r="U7" s="54" t="s">
        <v>149</v>
      </c>
      <c r="V7" s="107" t="s">
        <v>28</v>
      </c>
      <c r="W7" s="55" t="s">
        <v>28</v>
      </c>
      <c r="X7" s="7"/>
      <c r="Y7" s="22" t="s">
        <v>91</v>
      </c>
      <c r="Z7" s="22" t="s">
        <v>91</v>
      </c>
      <c r="AA7" s="114" t="s">
        <v>27</v>
      </c>
      <c r="AB7" s="84" t="s">
        <v>137</v>
      </c>
      <c r="AC7" s="84" t="s">
        <v>138</v>
      </c>
      <c r="AD7" s="85">
        <v>42048</v>
      </c>
      <c r="AE7" s="67" t="s">
        <v>168</v>
      </c>
      <c r="AF7" s="85">
        <v>42107</v>
      </c>
      <c r="AG7" s="85">
        <v>42643</v>
      </c>
    </row>
    <row r="8" spans="1:34" s="23" customFormat="1" ht="50.1" customHeight="1">
      <c r="A8" s="13">
        <v>2.2000000000000002</v>
      </c>
      <c r="B8" s="159"/>
      <c r="C8" s="14" t="s">
        <v>140</v>
      </c>
      <c r="D8" s="16" t="s">
        <v>145</v>
      </c>
      <c r="E8" s="16"/>
      <c r="F8" s="16"/>
      <c r="G8" s="16"/>
      <c r="H8" s="16"/>
      <c r="I8" s="16"/>
      <c r="J8" s="16">
        <v>2802754</v>
      </c>
      <c r="K8" s="51" t="s">
        <v>167</v>
      </c>
      <c r="L8" s="51">
        <v>143046413</v>
      </c>
      <c r="M8" s="55">
        <v>81488</v>
      </c>
      <c r="N8" s="52">
        <v>0.85</v>
      </c>
      <c r="O8" s="55">
        <f>+M8*N8</f>
        <v>69264.800000000003</v>
      </c>
      <c r="P8" s="55">
        <f>+M8-O8</f>
        <v>12223.199999999997</v>
      </c>
      <c r="Q8" s="53"/>
      <c r="R8" s="54" t="s">
        <v>109</v>
      </c>
      <c r="S8" s="54" t="s">
        <v>125</v>
      </c>
      <c r="T8" s="54"/>
      <c r="U8" s="54" t="s">
        <v>150</v>
      </c>
      <c r="V8" s="107" t="s">
        <v>28</v>
      </c>
      <c r="W8" s="55" t="s">
        <v>28</v>
      </c>
      <c r="X8" s="7"/>
      <c r="Y8" s="22" t="s">
        <v>91</v>
      </c>
      <c r="Z8" s="22" t="s">
        <v>60</v>
      </c>
      <c r="AA8" s="114" t="s">
        <v>27</v>
      </c>
      <c r="AB8" s="84" t="s">
        <v>137</v>
      </c>
      <c r="AC8" s="84" t="s">
        <v>138</v>
      </c>
      <c r="AD8" s="85">
        <v>42048</v>
      </c>
      <c r="AE8" s="67" t="s">
        <v>168</v>
      </c>
      <c r="AF8" s="85">
        <v>42107</v>
      </c>
      <c r="AG8" s="85">
        <v>42643</v>
      </c>
    </row>
    <row r="9" spans="1:34" s="23" customFormat="1" ht="50.1" customHeight="1">
      <c r="A9" s="13">
        <v>2.2999999999999998</v>
      </c>
      <c r="B9" s="159"/>
      <c r="C9" s="14" t="s">
        <v>140</v>
      </c>
      <c r="D9" s="13" t="s">
        <v>169</v>
      </c>
      <c r="E9" s="16"/>
      <c r="F9" s="16"/>
      <c r="G9" s="16"/>
      <c r="H9" s="16"/>
      <c r="I9" s="16"/>
      <c r="J9" s="16">
        <v>2802771</v>
      </c>
      <c r="K9" s="51" t="s">
        <v>171</v>
      </c>
      <c r="L9" s="51">
        <v>143006937</v>
      </c>
      <c r="M9" s="55">
        <v>21680</v>
      </c>
      <c r="N9" s="52">
        <v>0.85</v>
      </c>
      <c r="O9" s="55">
        <f>+M9*N9</f>
        <v>18428</v>
      </c>
      <c r="P9" s="55">
        <f>+M9-O9</f>
        <v>3252</v>
      </c>
      <c r="Q9" s="53"/>
      <c r="R9" s="54" t="s">
        <v>109</v>
      </c>
      <c r="S9" s="54" t="s">
        <v>125</v>
      </c>
      <c r="T9" s="54"/>
      <c r="U9" s="54" t="s">
        <v>150</v>
      </c>
      <c r="V9" s="107" t="s">
        <v>28</v>
      </c>
      <c r="W9" s="55" t="s">
        <v>28</v>
      </c>
      <c r="X9" s="7"/>
      <c r="Y9" s="22" t="s">
        <v>91</v>
      </c>
      <c r="Z9" s="22" t="s">
        <v>60</v>
      </c>
      <c r="AA9" s="114" t="s">
        <v>27</v>
      </c>
      <c r="AB9" s="84" t="s">
        <v>137</v>
      </c>
      <c r="AC9" s="84" t="s">
        <v>138</v>
      </c>
      <c r="AD9" s="85">
        <v>42048</v>
      </c>
      <c r="AE9" s="67" t="s">
        <v>170</v>
      </c>
      <c r="AF9" s="85">
        <v>42107</v>
      </c>
      <c r="AG9" s="85">
        <v>42643</v>
      </c>
    </row>
    <row r="10" spans="1:34" s="2" customFormat="1" ht="30" customHeight="1">
      <c r="A10" s="68"/>
      <c r="B10" s="69"/>
      <c r="C10" s="70"/>
      <c r="D10" s="71" t="s">
        <v>194</v>
      </c>
      <c r="E10" s="72"/>
      <c r="F10" s="72"/>
      <c r="G10" s="72"/>
      <c r="H10" s="72"/>
      <c r="I10" s="72"/>
      <c r="J10" s="72"/>
      <c r="K10" s="73"/>
      <c r="L10" s="74"/>
      <c r="M10" s="75">
        <f>SUM(M7:M9)</f>
        <v>598674.5</v>
      </c>
      <c r="N10" s="76"/>
      <c r="O10" s="75">
        <f t="shared" ref="O10:P10" si="0">SUM(O7:O9)</f>
        <v>508873.32499999995</v>
      </c>
      <c r="P10" s="75">
        <f t="shared" si="0"/>
        <v>89801.175000000032</v>
      </c>
      <c r="Q10" s="77">
        <f>SUM(Q7:Q8)</f>
        <v>0</v>
      </c>
      <c r="R10" s="78"/>
      <c r="S10" s="78"/>
      <c r="T10" s="78"/>
      <c r="U10" s="78"/>
      <c r="V10" s="108"/>
      <c r="W10" s="79"/>
      <c r="X10" s="80"/>
      <c r="Y10" s="81" t="s">
        <v>0</v>
      </c>
      <c r="Z10" s="81" t="s">
        <v>0</v>
      </c>
      <c r="AA10" s="82" t="s">
        <v>0</v>
      </c>
      <c r="AB10" s="62" t="s">
        <v>0</v>
      </c>
      <c r="AC10" s="62" t="s">
        <v>0</v>
      </c>
      <c r="AD10" s="62"/>
      <c r="AE10" s="62" t="s">
        <v>0</v>
      </c>
      <c r="AF10" s="63" t="s">
        <v>0</v>
      </c>
      <c r="AG10" s="63" t="s">
        <v>0</v>
      </c>
      <c r="AH10" s="83"/>
    </row>
    <row r="11" spans="1:34" s="2" customFormat="1" ht="30" customHeight="1">
      <c r="A11" s="68"/>
      <c r="B11" s="69"/>
      <c r="C11" s="70"/>
      <c r="D11" s="71" t="s">
        <v>195</v>
      </c>
      <c r="E11" s="72"/>
      <c r="F11" s="72"/>
      <c r="G11" s="72"/>
      <c r="H11" s="72"/>
      <c r="I11" s="72"/>
      <c r="J11" s="72"/>
      <c r="K11" s="73"/>
      <c r="L11" s="74"/>
      <c r="M11" s="75">
        <f>+M10+M6</f>
        <v>1134241.058</v>
      </c>
      <c r="N11" s="76"/>
      <c r="O11" s="75">
        <f>+O10+O6</f>
        <v>918830.1993199999</v>
      </c>
      <c r="P11" s="75">
        <f>+P10+P6</f>
        <v>215410.85868000003</v>
      </c>
      <c r="Q11" s="77">
        <f>SUM(Q8:Q9)</f>
        <v>0</v>
      </c>
      <c r="R11" s="78"/>
      <c r="S11" s="78"/>
      <c r="T11" s="78"/>
      <c r="U11" s="78"/>
      <c r="V11" s="108"/>
      <c r="W11" s="79"/>
      <c r="X11" s="80"/>
      <c r="Y11" s="81" t="s">
        <v>0</v>
      </c>
      <c r="Z11" s="81" t="s">
        <v>0</v>
      </c>
      <c r="AA11" s="82" t="s">
        <v>0</v>
      </c>
      <c r="AB11" s="62" t="s">
        <v>0</v>
      </c>
      <c r="AC11" s="62" t="s">
        <v>0</v>
      </c>
      <c r="AD11" s="62"/>
      <c r="AE11" s="62" t="s">
        <v>0</v>
      </c>
      <c r="AF11" s="63" t="s">
        <v>0</v>
      </c>
      <c r="AG11" s="63" t="s">
        <v>0</v>
      </c>
      <c r="AH11" s="83"/>
    </row>
    <row r="12" spans="1:34" ht="22.5">
      <c r="C12" s="64" t="s">
        <v>129</v>
      </c>
      <c r="D12" s="32">
        <v>679000</v>
      </c>
      <c r="X12" s="7"/>
    </row>
  </sheetData>
  <mergeCells count="6">
    <mergeCell ref="K4:K5"/>
    <mergeCell ref="L4:L5"/>
    <mergeCell ref="A4:A5"/>
    <mergeCell ref="C4:C5"/>
    <mergeCell ref="B7:B9"/>
    <mergeCell ref="B2:B5"/>
  </mergeCells>
  <phoneticPr fontId="0" type="noConversion"/>
  <printOptions gridLines="1"/>
  <pageMargins left="0.75" right="0.64" top="1.1000000000000001" bottom="0.74" header="0.5" footer="0.5"/>
  <pageSetup scale="67" fitToHeight="0" orientation="landscape" r:id="rId1"/>
  <headerFooter alignWithMargins="0">
    <oddHeader>&amp;L&amp;8Peoria Confidential&amp;C&amp;"Arial,Bold"&amp;11Peoria SD 150 
E-Rate 2015&amp;R&amp;D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workbookViewId="0">
      <selection activeCell="A5" sqref="A5:XFD7"/>
    </sheetView>
  </sheetViews>
  <sheetFormatPr defaultRowHeight="12.75"/>
  <cols>
    <col min="1" max="1" width="26.42578125" style="33" bestFit="1" customWidth="1"/>
    <col min="2" max="2" width="0" style="33" hidden="1" customWidth="1"/>
    <col min="3" max="5" width="9.140625" style="33"/>
    <col min="6" max="6" width="8.5703125" style="33" bestFit="1" customWidth="1"/>
    <col min="7" max="7" width="9.140625" style="33" hidden="1" customWidth="1"/>
    <col min="8" max="16384" width="9.140625" style="33"/>
  </cols>
  <sheetData>
    <row r="1" spans="1:14" ht="51" customHeight="1">
      <c r="A1" s="161" t="s">
        <v>212</v>
      </c>
      <c r="B1" s="34"/>
      <c r="C1" s="34"/>
      <c r="H1" s="35"/>
    </row>
    <row r="2" spans="1:14" ht="45" customHeight="1">
      <c r="A2" s="36" t="s">
        <v>30</v>
      </c>
      <c r="B2" s="37" t="s">
        <v>106</v>
      </c>
      <c r="C2" s="37" t="s">
        <v>127</v>
      </c>
      <c r="D2" s="37" t="s">
        <v>31</v>
      </c>
      <c r="E2" s="37" t="s">
        <v>32</v>
      </c>
      <c r="F2" s="86" t="s">
        <v>151</v>
      </c>
      <c r="G2" s="86" t="s">
        <v>151</v>
      </c>
      <c r="H2" s="37" t="s">
        <v>89</v>
      </c>
    </row>
    <row r="3" spans="1:14">
      <c r="B3" s="48" t="s">
        <v>91</v>
      </c>
      <c r="C3" s="3" t="s">
        <v>107</v>
      </c>
      <c r="D3">
        <v>345</v>
      </c>
      <c r="E3">
        <v>210</v>
      </c>
      <c r="F3" s="87">
        <f>+(E3/D3)*100</f>
        <v>60.869565217391312</v>
      </c>
      <c r="G3" s="87"/>
      <c r="H3" s="38"/>
    </row>
    <row r="4" spans="1:14">
      <c r="B4" s="48" t="s">
        <v>60</v>
      </c>
      <c r="C4" s="3" t="s">
        <v>107</v>
      </c>
      <c r="D4">
        <v>375</v>
      </c>
      <c r="E4">
        <v>139</v>
      </c>
      <c r="F4" s="87">
        <f t="shared" ref="F4:F10" si="0">+(E4/D4)*100</f>
        <v>37.066666666666663</v>
      </c>
      <c r="G4" s="87"/>
      <c r="H4" s="38"/>
    </row>
    <row r="5" spans="1:14">
      <c r="B5" s="48" t="s">
        <v>91</v>
      </c>
      <c r="C5" s="3" t="s">
        <v>107</v>
      </c>
      <c r="D5">
        <v>674</v>
      </c>
      <c r="E5">
        <v>543</v>
      </c>
      <c r="F5" s="87">
        <f t="shared" si="0"/>
        <v>80.563798219584569</v>
      </c>
      <c r="G5" s="87"/>
      <c r="H5" s="38"/>
    </row>
    <row r="6" spans="1:14">
      <c r="B6" s="48" t="s">
        <v>91</v>
      </c>
      <c r="C6" s="3" t="s">
        <v>107</v>
      </c>
      <c r="D6">
        <v>526</v>
      </c>
      <c r="E6">
        <v>311</v>
      </c>
      <c r="F6" s="87">
        <f t="shared" si="0"/>
        <v>59.125475285171106</v>
      </c>
      <c r="G6" s="87"/>
      <c r="H6" s="38"/>
    </row>
    <row r="7" spans="1:14">
      <c r="B7" s="48" t="s">
        <v>60</v>
      </c>
      <c r="C7" s="3" t="s">
        <v>107</v>
      </c>
      <c r="D7">
        <v>379</v>
      </c>
      <c r="E7">
        <v>147</v>
      </c>
      <c r="F7" s="87">
        <f t="shared" si="0"/>
        <v>38.786279683377309</v>
      </c>
      <c r="G7" s="87"/>
      <c r="H7" s="38"/>
    </row>
    <row r="8" spans="1:14">
      <c r="B8" s="48" t="s">
        <v>91</v>
      </c>
      <c r="C8" s="3" t="s">
        <v>107</v>
      </c>
      <c r="D8">
        <v>165</v>
      </c>
      <c r="E8">
        <v>99</v>
      </c>
      <c r="F8" s="87">
        <f t="shared" si="0"/>
        <v>60</v>
      </c>
      <c r="G8" s="87"/>
    </row>
    <row r="9" spans="1:14">
      <c r="B9" s="48" t="s">
        <v>91</v>
      </c>
      <c r="C9" s="3" t="s">
        <v>107</v>
      </c>
      <c r="D9">
        <v>814</v>
      </c>
      <c r="E9">
        <v>657</v>
      </c>
      <c r="F9" s="87">
        <f t="shared" si="0"/>
        <v>80.712530712530722</v>
      </c>
      <c r="G9" s="87"/>
      <c r="H9" s="38"/>
    </row>
    <row r="10" spans="1:14">
      <c r="B10" s="48" t="s">
        <v>91</v>
      </c>
      <c r="C10" s="3" t="s">
        <v>107</v>
      </c>
      <c r="D10">
        <v>728</v>
      </c>
      <c r="E10">
        <v>483</v>
      </c>
      <c r="F10" s="87">
        <f t="shared" si="0"/>
        <v>66.34615384615384</v>
      </c>
      <c r="G10" s="87"/>
      <c r="H10" s="38"/>
    </row>
    <row r="11" spans="1:14">
      <c r="B11" s="49"/>
      <c r="C11" s="49"/>
      <c r="D11" s="33">
        <f>SUM(D3:D10)</f>
        <v>4006</v>
      </c>
    </row>
    <row r="12" spans="1:14">
      <c r="A12" s="33" t="s">
        <v>97</v>
      </c>
      <c r="B12" s="49"/>
      <c r="C12" s="49"/>
      <c r="D12" s="39">
        <v>0.85</v>
      </c>
    </row>
    <row r="13" spans="1:14">
      <c r="A13" s="39" t="s">
        <v>100</v>
      </c>
      <c r="B13" s="49"/>
      <c r="C13" s="49"/>
      <c r="D13" s="39"/>
    </row>
    <row r="14" spans="1:14" s="28" customFormat="1">
      <c r="A14" s="30" t="s">
        <v>14</v>
      </c>
      <c r="B14" s="48" t="s">
        <v>60</v>
      </c>
      <c r="C14" s="48"/>
      <c r="D14" s="26"/>
      <c r="E14" s="29"/>
      <c r="F14" s="29"/>
      <c r="G14" s="29"/>
      <c r="H14" s="12">
        <v>16033223</v>
      </c>
      <c r="I14" s="27"/>
      <c r="J14" s="27"/>
      <c r="K14" s="27"/>
      <c r="L14" s="27"/>
      <c r="M14" s="27"/>
      <c r="N14" s="27"/>
    </row>
    <row r="15" spans="1:14" s="28" customFormat="1">
      <c r="A15" s="30" t="s">
        <v>15</v>
      </c>
      <c r="B15" s="48" t="s">
        <v>60</v>
      </c>
      <c r="C15" s="48"/>
      <c r="D15" s="26"/>
      <c r="E15" s="29"/>
      <c r="F15" s="29"/>
      <c r="G15" s="29"/>
      <c r="H15" s="12">
        <v>16033224</v>
      </c>
      <c r="I15" s="27"/>
      <c r="J15" s="27"/>
      <c r="K15" s="27"/>
      <c r="L15" s="27"/>
      <c r="M15" s="27"/>
      <c r="N15" s="27"/>
    </row>
    <row r="16" spans="1:14" s="28" customFormat="1">
      <c r="A16" s="30" t="s">
        <v>16</v>
      </c>
      <c r="B16" s="48" t="s">
        <v>60</v>
      </c>
      <c r="C16" s="48"/>
      <c r="D16" s="26"/>
      <c r="E16" s="29"/>
      <c r="F16" s="29"/>
      <c r="G16" s="29"/>
      <c r="H16" s="12">
        <v>16033226</v>
      </c>
      <c r="I16" s="27"/>
      <c r="J16" s="27"/>
      <c r="K16" s="27"/>
      <c r="L16" s="27"/>
      <c r="M16" s="27"/>
      <c r="N16" s="27"/>
    </row>
    <row r="17" spans="1:14" s="28" customFormat="1">
      <c r="A17" s="30" t="s">
        <v>18</v>
      </c>
      <c r="B17" s="48"/>
      <c r="C17" s="48"/>
      <c r="D17" s="26"/>
      <c r="E17" s="29"/>
      <c r="F17" s="29"/>
      <c r="G17" s="29"/>
      <c r="H17" s="12">
        <v>16033227</v>
      </c>
      <c r="I17" s="27"/>
      <c r="J17" s="27"/>
      <c r="K17" s="27"/>
      <c r="L17" s="27"/>
      <c r="M17" s="27"/>
      <c r="N17" s="27"/>
    </row>
    <row r="18" spans="1:14" s="41" customFormat="1" ht="15">
      <c r="A18" s="40"/>
    </row>
    <row r="19" spans="1:14">
      <c r="A19" s="42"/>
      <c r="I19" s="43"/>
      <c r="J19" s="34"/>
    </row>
    <row r="20" spans="1:14">
      <c r="A20" s="50"/>
      <c r="B20"/>
      <c r="C20"/>
      <c r="D20"/>
      <c r="E20"/>
      <c r="F20"/>
      <c r="G20"/>
      <c r="H20"/>
      <c r="I20"/>
    </row>
    <row r="21" spans="1:14">
      <c r="A21" s="50"/>
      <c r="B21"/>
      <c r="C21"/>
      <c r="D21"/>
      <c r="E21"/>
      <c r="F21"/>
      <c r="G21"/>
      <c r="H21"/>
      <c r="I21"/>
      <c r="J21" s="34"/>
    </row>
    <row r="22" spans="1:14">
      <c r="A22" s="50"/>
      <c r="B22"/>
      <c r="C22"/>
      <c r="D22"/>
      <c r="E22"/>
      <c r="F22"/>
      <c r="G22"/>
      <c r="H22"/>
      <c r="I22"/>
      <c r="J22" s="34"/>
    </row>
    <row r="23" spans="1:14">
      <c r="A23" s="50"/>
      <c r="B23"/>
      <c r="C23"/>
      <c r="D23"/>
      <c r="E23"/>
      <c r="F23"/>
      <c r="G23"/>
      <c r="H23"/>
      <c r="I23"/>
      <c r="J23" s="34"/>
    </row>
    <row r="24" spans="1:14">
      <c r="A24" s="50"/>
      <c r="B24"/>
      <c r="C24"/>
      <c r="D24"/>
      <c r="E24"/>
      <c r="F24"/>
      <c r="G24"/>
      <c r="H24"/>
      <c r="I24"/>
      <c r="J24" s="34"/>
    </row>
    <row r="25" spans="1:14">
      <c r="A25" s="50"/>
      <c r="B25"/>
      <c r="C25"/>
      <c r="D25"/>
      <c r="E25"/>
      <c r="F25"/>
      <c r="G25"/>
      <c r="H25"/>
      <c r="I25"/>
      <c r="J25" s="34"/>
    </row>
    <row r="26" spans="1:14">
      <c r="A26" s="50"/>
      <c r="B26"/>
      <c r="C26"/>
      <c r="D26"/>
      <c r="E26"/>
      <c r="F26"/>
      <c r="G26"/>
      <c r="H26"/>
      <c r="I26"/>
    </row>
    <row r="27" spans="1:14">
      <c r="A27" s="50"/>
      <c r="B27"/>
      <c r="C27"/>
      <c r="D27"/>
      <c r="E27"/>
      <c r="F27"/>
      <c r="G27"/>
      <c r="H27"/>
      <c r="I27"/>
      <c r="J27" s="34"/>
    </row>
    <row r="28" spans="1:14">
      <c r="A28" s="50"/>
      <c r="B28"/>
      <c r="C28"/>
      <c r="D28"/>
      <c r="E28"/>
      <c r="F28"/>
      <c r="G28"/>
      <c r="H28"/>
      <c r="I28"/>
      <c r="J28" s="34"/>
    </row>
    <row r="29" spans="1:14">
      <c r="A29" s="50"/>
      <c r="B29"/>
      <c r="C29"/>
      <c r="D29"/>
      <c r="E29"/>
      <c r="F29"/>
      <c r="G29"/>
      <c r="H29"/>
      <c r="I29"/>
      <c r="J29" s="34"/>
    </row>
    <row r="30" spans="1:14">
      <c r="A30" s="50"/>
      <c r="B30"/>
      <c r="C30"/>
      <c r="D30"/>
      <c r="E30"/>
      <c r="F30"/>
      <c r="G30"/>
      <c r="H30"/>
      <c r="I30"/>
      <c r="J30" s="34"/>
    </row>
    <row r="31" spans="1:14">
      <c r="A31" s="50"/>
      <c r="B31"/>
      <c r="C31"/>
      <c r="D31"/>
      <c r="E31"/>
      <c r="F31"/>
      <c r="G31"/>
      <c r="H31"/>
      <c r="I31"/>
    </row>
    <row r="32" spans="1:14">
      <c r="A32" s="50"/>
      <c r="B32"/>
      <c r="C32"/>
      <c r="D32"/>
      <c r="E32"/>
      <c r="F32"/>
      <c r="G32"/>
      <c r="H32"/>
      <c r="I32"/>
      <c r="J32" s="34"/>
    </row>
    <row r="33" spans="1:10">
      <c r="A33" s="50"/>
      <c r="B33"/>
      <c r="C33"/>
      <c r="D33"/>
      <c r="E33"/>
      <c r="F33"/>
      <c r="G33"/>
      <c r="H33"/>
      <c r="I33"/>
    </row>
    <row r="34" spans="1:10">
      <c r="A34" s="50"/>
      <c r="B34"/>
      <c r="C34"/>
      <c r="D34"/>
      <c r="E34"/>
      <c r="F34"/>
      <c r="G34"/>
      <c r="H34"/>
      <c r="I34"/>
      <c r="J34" s="34"/>
    </row>
    <row r="35" spans="1:10">
      <c r="A35" s="50"/>
      <c r="B35"/>
      <c r="C35"/>
      <c r="D35"/>
      <c r="E35"/>
      <c r="F35"/>
      <c r="G35"/>
      <c r="H35"/>
      <c r="I35"/>
      <c r="J35" s="34"/>
    </row>
    <row r="36" spans="1:10">
      <c r="A36" s="50"/>
      <c r="B36"/>
      <c r="C36"/>
      <c r="D36"/>
      <c r="E36"/>
      <c r="F36"/>
      <c r="G36"/>
      <c r="H36"/>
      <c r="I36"/>
      <c r="J36" s="34"/>
    </row>
    <row r="37" spans="1:10">
      <c r="A37" s="50"/>
      <c r="B37"/>
      <c r="C37"/>
      <c r="D37"/>
      <c r="E37"/>
      <c r="F37"/>
      <c r="G37"/>
      <c r="H37"/>
      <c r="I37"/>
      <c r="J37" s="34"/>
    </row>
    <row r="38" spans="1:10">
      <c r="A38" s="50"/>
      <c r="B38"/>
      <c r="C38"/>
      <c r="D38"/>
      <c r="E38"/>
      <c r="F38"/>
      <c r="G38"/>
      <c r="H38"/>
      <c r="I38"/>
      <c r="J38" s="34"/>
    </row>
    <row r="39" spans="1:10">
      <c r="A39" s="50"/>
      <c r="B39"/>
      <c r="C39"/>
      <c r="D39"/>
      <c r="E39"/>
      <c r="F39"/>
      <c r="G39"/>
      <c r="H39"/>
      <c r="I39"/>
      <c r="J39" s="34"/>
    </row>
    <row r="40" spans="1:10">
      <c r="A40" s="50"/>
      <c r="B40"/>
      <c r="C40"/>
      <c r="D40"/>
      <c r="E40"/>
      <c r="F40"/>
      <c r="G40"/>
      <c r="H40"/>
      <c r="I40"/>
      <c r="J40" s="34"/>
    </row>
    <row r="41" spans="1:10">
      <c r="A41" s="50"/>
      <c r="B41"/>
      <c r="C41"/>
      <c r="D41"/>
      <c r="E41"/>
      <c r="F41"/>
      <c r="G41"/>
      <c r="H41"/>
      <c r="I41"/>
      <c r="J41" s="34"/>
    </row>
    <row r="42" spans="1:10">
      <c r="A42" s="50"/>
      <c r="B42"/>
      <c r="C42"/>
      <c r="D42"/>
      <c r="E42"/>
      <c r="F42"/>
      <c r="G42"/>
      <c r="H42"/>
      <c r="I42"/>
    </row>
    <row r="43" spans="1:10">
      <c r="A43" s="50"/>
      <c r="B43"/>
      <c r="C43"/>
      <c r="D43"/>
      <c r="E43"/>
      <c r="F43"/>
      <c r="G43"/>
      <c r="H43"/>
      <c r="I43"/>
      <c r="J43" s="34"/>
    </row>
    <row r="44" spans="1:10">
      <c r="A44" s="50"/>
      <c r="B44"/>
      <c r="C44"/>
      <c r="D44"/>
      <c r="E44"/>
      <c r="F44"/>
      <c r="G44"/>
      <c r="H44"/>
      <c r="I44"/>
      <c r="J44" s="34"/>
    </row>
    <row r="45" spans="1:10">
      <c r="A45" s="50"/>
      <c r="B45"/>
      <c r="C45"/>
      <c r="D45"/>
      <c r="E45"/>
      <c r="F45"/>
      <c r="G45"/>
      <c r="H45"/>
      <c r="I45"/>
      <c r="J45" s="34"/>
    </row>
    <row r="46" spans="1:10">
      <c r="A46" s="50"/>
      <c r="B46"/>
      <c r="C46"/>
      <c r="D46"/>
      <c r="E46"/>
      <c r="F46"/>
      <c r="G46"/>
      <c r="H46"/>
      <c r="I46"/>
    </row>
    <row r="47" spans="1:10">
      <c r="A47" s="50"/>
      <c r="B47"/>
      <c r="C47"/>
      <c r="D47"/>
      <c r="E47"/>
      <c r="F47"/>
      <c r="G47"/>
      <c r="H47"/>
      <c r="I47"/>
    </row>
    <row r="48" spans="1:10">
      <c r="A48" s="50"/>
      <c r="B48"/>
      <c r="C48"/>
      <c r="D48"/>
      <c r="E48"/>
      <c r="F48"/>
      <c r="G48"/>
      <c r="H48"/>
      <c r="I48"/>
    </row>
  </sheetData>
  <printOptions gridLines="1"/>
  <pageMargins left="0.7" right="0.7" top="0.75" bottom="0.75" header="0.3" footer="0.3"/>
  <pageSetup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L13" sqref="L13"/>
    </sheetView>
  </sheetViews>
  <sheetFormatPr defaultRowHeight="12.75"/>
  <cols>
    <col min="1" max="1" width="9.140625" style="60"/>
    <col min="5" max="5" width="5.7109375" style="3" customWidth="1"/>
    <col min="6" max="7" width="9.140625" style="3"/>
    <col min="8" max="10" width="5.7109375" customWidth="1"/>
    <col min="12" max="12" width="29.5703125" customWidth="1"/>
    <col min="13" max="13" width="33.42578125" bestFit="1" customWidth="1"/>
  </cols>
  <sheetData>
    <row r="1" spans="1:14" ht="26.25" customHeight="1">
      <c r="A1" s="56" t="s">
        <v>111</v>
      </c>
      <c r="B1" s="57" t="s">
        <v>112</v>
      </c>
      <c r="C1" s="57" t="s">
        <v>113</v>
      </c>
      <c r="D1" s="57" t="s">
        <v>114</v>
      </c>
      <c r="E1" s="57" t="s">
        <v>115</v>
      </c>
      <c r="F1" s="57" t="s">
        <v>116</v>
      </c>
      <c r="G1" s="57" t="s">
        <v>117</v>
      </c>
      <c r="H1" s="58" t="s">
        <v>118</v>
      </c>
      <c r="I1" s="58" t="s">
        <v>119</v>
      </c>
      <c r="J1" s="58" t="s">
        <v>120</v>
      </c>
      <c r="K1" s="57" t="s">
        <v>121</v>
      </c>
      <c r="L1" s="57" t="s">
        <v>122</v>
      </c>
      <c r="M1" s="57" t="s">
        <v>213</v>
      </c>
      <c r="N1" s="59"/>
    </row>
    <row r="2" spans="1:14" ht="15">
      <c r="E2" s="65"/>
      <c r="G2" s="61"/>
      <c r="L2" s="30"/>
      <c r="M2" s="148"/>
    </row>
    <row r="3" spans="1:14" ht="15">
      <c r="G3" s="61"/>
      <c r="L3" s="30"/>
      <c r="M3" s="148"/>
    </row>
    <row r="4" spans="1:14" ht="15">
      <c r="G4" s="61"/>
      <c r="L4" s="30"/>
      <c r="M4" s="148"/>
    </row>
    <row r="5" spans="1:14" ht="15">
      <c r="G5" s="61"/>
      <c r="L5" s="30"/>
      <c r="M5" s="148"/>
    </row>
    <row r="6" spans="1:14" ht="15">
      <c r="E6" s="65"/>
      <c r="G6" s="147"/>
      <c r="L6" s="30"/>
      <c r="M6" s="148"/>
    </row>
    <row r="7" spans="1:14" ht="15">
      <c r="G7" s="61"/>
      <c r="L7" s="30"/>
      <c r="M7" s="148"/>
    </row>
    <row r="8" spans="1:14" ht="15">
      <c r="G8" s="61"/>
      <c r="L8" s="30"/>
      <c r="M8" s="149"/>
    </row>
    <row r="9" spans="1:14" ht="15">
      <c r="E9" s="65"/>
      <c r="G9" s="147"/>
      <c r="L9" s="30"/>
    </row>
    <row r="10" spans="1:14">
      <c r="L10" s="30"/>
    </row>
    <row r="11" spans="1:14">
      <c r="L11" s="30"/>
    </row>
    <row r="12" spans="1:14">
      <c r="L12" s="30"/>
    </row>
    <row r="13" spans="1:14">
      <c r="L13" s="30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10" workbookViewId="0">
      <selection activeCell="G18" sqref="G18:O27"/>
    </sheetView>
  </sheetViews>
  <sheetFormatPr defaultRowHeight="12"/>
  <cols>
    <col min="1" max="1" width="16.42578125" style="90" customWidth="1"/>
    <col min="2" max="2" width="9.140625" style="90"/>
    <col min="3" max="3" width="10.28515625" style="92" bestFit="1" customWidth="1"/>
    <col min="4" max="4" width="12.28515625" style="92" bestFit="1" customWidth="1"/>
    <col min="5" max="5" width="10.85546875" style="90" customWidth="1"/>
    <col min="6" max="6" width="11" style="90" bestFit="1" customWidth="1"/>
    <col min="7" max="7" width="13.28515625" style="90" customWidth="1"/>
    <col min="8" max="8" width="10" style="90" bestFit="1" customWidth="1"/>
    <col min="9" max="10" width="9.140625" style="90"/>
    <col min="11" max="11" width="11.140625" style="90" bestFit="1" customWidth="1"/>
    <col min="12" max="12" width="2.140625" style="90" customWidth="1"/>
    <col min="13" max="13" width="10" style="90" bestFit="1" customWidth="1"/>
    <col min="14" max="14" width="11" style="90" bestFit="1" customWidth="1"/>
    <col min="15" max="16384" width="9.140625" style="90"/>
  </cols>
  <sheetData>
    <row r="1" spans="1:14" ht="15" customHeight="1">
      <c r="A1" s="104" t="s">
        <v>61</v>
      </c>
      <c r="B1" s="88" t="s">
        <v>59</v>
      </c>
      <c r="C1" s="89" t="s">
        <v>152</v>
      </c>
      <c r="D1" s="89" t="s">
        <v>153</v>
      </c>
      <c r="F1" s="90" t="s">
        <v>202</v>
      </c>
      <c r="M1" s="117"/>
      <c r="N1" s="117"/>
    </row>
    <row r="2" spans="1:14" ht="15" customHeight="1">
      <c r="A2" s="91" t="s">
        <v>154</v>
      </c>
      <c r="B2" s="90">
        <v>0</v>
      </c>
      <c r="C2" s="92">
        <v>0</v>
      </c>
      <c r="D2" s="92">
        <f>+B2*C2</f>
        <v>0</v>
      </c>
      <c r="E2" s="90" t="s">
        <v>155</v>
      </c>
      <c r="G2" s="92"/>
      <c r="K2" s="113"/>
      <c r="L2" s="113"/>
      <c r="M2" s="113"/>
      <c r="N2" s="113"/>
    </row>
    <row r="3" spans="1:14" ht="15" customHeight="1">
      <c r="A3" s="91"/>
      <c r="B3" s="90">
        <v>0</v>
      </c>
      <c r="C3" s="92">
        <v>0</v>
      </c>
      <c r="D3" s="92">
        <f t="shared" ref="D3" si="0">+B3*C3</f>
        <v>0</v>
      </c>
      <c r="E3" s="90" t="s">
        <v>156</v>
      </c>
      <c r="G3" s="92"/>
      <c r="K3" s="113"/>
      <c r="L3" s="113"/>
      <c r="M3" s="113"/>
      <c r="N3" s="113"/>
    </row>
    <row r="4" spans="1:14" ht="15" customHeight="1">
      <c r="A4" s="91" t="s">
        <v>201</v>
      </c>
      <c r="B4" s="90">
        <v>36</v>
      </c>
      <c r="C4" s="92">
        <v>0</v>
      </c>
      <c r="D4" s="92">
        <v>18644.36</v>
      </c>
      <c r="E4" s="90" t="s">
        <v>157</v>
      </c>
      <c r="F4" s="113">
        <f>+D4*1.15</f>
        <v>21441.013999999999</v>
      </c>
      <c r="G4" s="92"/>
      <c r="K4" s="113"/>
      <c r="L4" s="113"/>
      <c r="M4" s="113"/>
      <c r="N4" s="113"/>
    </row>
    <row r="5" spans="1:14" ht="15" customHeight="1">
      <c r="A5" s="91" t="s">
        <v>63</v>
      </c>
      <c r="B5" s="90">
        <v>1</v>
      </c>
      <c r="D5" s="92">
        <v>7000</v>
      </c>
      <c r="F5" s="113">
        <f>+D5*1.15</f>
        <v>8049.9999999999991</v>
      </c>
      <c r="G5" s="92"/>
      <c r="K5" s="113"/>
      <c r="L5" s="113"/>
      <c r="M5" s="113"/>
      <c r="N5" s="113"/>
    </row>
    <row r="6" spans="1:14" ht="15" customHeight="1">
      <c r="A6" s="91" t="s">
        <v>175</v>
      </c>
      <c r="D6" s="92">
        <f>+(D4+D5)*0.15</f>
        <v>3846.654</v>
      </c>
      <c r="K6" s="113"/>
      <c r="L6" s="113"/>
      <c r="M6" s="113"/>
      <c r="N6" s="113"/>
    </row>
    <row r="7" spans="1:14" ht="15" customHeight="1">
      <c r="A7" s="91" t="s">
        <v>158</v>
      </c>
      <c r="D7" s="92">
        <v>0</v>
      </c>
      <c r="K7" s="113"/>
      <c r="L7" s="113"/>
      <c r="M7" s="113"/>
      <c r="N7" s="113"/>
    </row>
    <row r="8" spans="1:14" ht="15" customHeight="1">
      <c r="A8" s="93" t="s">
        <v>153</v>
      </c>
      <c r="B8" s="94"/>
      <c r="C8" s="95"/>
      <c r="D8" s="95">
        <f>SUM(D2:D7)</f>
        <v>29491.013999999999</v>
      </c>
      <c r="F8" s="92">
        <f>SUM(F4:F7)</f>
        <v>29491.013999999999</v>
      </c>
      <c r="G8" s="92"/>
      <c r="K8" s="113"/>
    </row>
    <row r="9" spans="1:14" ht="15" customHeight="1">
      <c r="A9" s="93" t="s">
        <v>29</v>
      </c>
      <c r="B9" s="94"/>
      <c r="C9" s="95"/>
      <c r="D9" s="95">
        <f>+D8*12</f>
        <v>353892.16800000001</v>
      </c>
      <c r="G9" s="95"/>
      <c r="K9" s="113"/>
    </row>
    <row r="10" spans="1:14" ht="15" customHeight="1">
      <c r="A10" s="96"/>
      <c r="B10" s="97"/>
      <c r="C10" s="98"/>
      <c r="D10" s="98"/>
      <c r="E10" s="97"/>
      <c r="F10" s="99"/>
      <c r="G10" s="92"/>
      <c r="K10" s="113"/>
    </row>
    <row r="11" spans="1:14" ht="15" customHeight="1">
      <c r="A11" s="105" t="s">
        <v>162</v>
      </c>
      <c r="B11" s="100"/>
      <c r="C11" s="101"/>
      <c r="D11" s="101"/>
      <c r="E11" s="100"/>
      <c r="K11" s="113"/>
    </row>
    <row r="12" spans="1:14" ht="15" customHeight="1">
      <c r="A12" s="102"/>
      <c r="B12" s="88">
        <v>250</v>
      </c>
      <c r="C12" s="92">
        <v>0</v>
      </c>
      <c r="D12" s="92">
        <f>M7</f>
        <v>0</v>
      </c>
    </row>
    <row r="13" spans="1:14">
      <c r="A13" s="91" t="s">
        <v>175</v>
      </c>
      <c r="D13" s="92">
        <f>+D12*0.15</f>
        <v>0</v>
      </c>
    </row>
    <row r="14" spans="1:14">
      <c r="A14" s="93" t="s">
        <v>153</v>
      </c>
      <c r="B14" s="94"/>
      <c r="C14" s="95"/>
      <c r="D14" s="95">
        <f>SUM(D11:D13)</f>
        <v>0</v>
      </c>
    </row>
    <row r="15" spans="1:14">
      <c r="A15" s="93" t="s">
        <v>29</v>
      </c>
      <c r="B15" s="94"/>
      <c r="C15" s="95"/>
      <c r="D15" s="95">
        <f>+D14*12</f>
        <v>0</v>
      </c>
    </row>
    <row r="16" spans="1:14" ht="15" customHeight="1">
      <c r="A16" s="96"/>
      <c r="B16" s="97"/>
      <c r="C16" s="98"/>
      <c r="D16" s="98"/>
      <c r="E16" s="97"/>
    </row>
    <row r="17" spans="1:13">
      <c r="A17" s="93" t="s">
        <v>58</v>
      </c>
    </row>
    <row r="18" spans="1:13">
      <c r="A18" s="103" t="s">
        <v>160</v>
      </c>
    </row>
    <row r="19" spans="1:13">
      <c r="A19" s="103"/>
      <c r="D19" s="92" t="s">
        <v>153</v>
      </c>
      <c r="E19" s="90" t="s">
        <v>161</v>
      </c>
      <c r="G19" s="115"/>
      <c r="H19" s="115"/>
      <c r="I19" s="115"/>
      <c r="J19" s="115"/>
      <c r="K19" s="115"/>
      <c r="L19" s="115"/>
      <c r="M19" s="115"/>
    </row>
    <row r="20" spans="1:13">
      <c r="A20" s="102"/>
      <c r="B20" s="90">
        <v>150</v>
      </c>
      <c r="C20" s="92">
        <v>0</v>
      </c>
      <c r="D20" s="92">
        <f>H27</f>
        <v>0</v>
      </c>
      <c r="G20" s="115"/>
      <c r="H20" s="115"/>
      <c r="I20" s="115"/>
      <c r="J20" s="115"/>
      <c r="K20" s="115"/>
      <c r="L20" s="115"/>
      <c r="M20" s="115"/>
    </row>
    <row r="21" spans="1:13">
      <c r="A21" s="91" t="s">
        <v>159</v>
      </c>
      <c r="D21" s="92">
        <v>0</v>
      </c>
      <c r="G21" s="115"/>
      <c r="H21" s="115"/>
      <c r="I21" s="115"/>
      <c r="J21" s="115"/>
      <c r="K21" s="115"/>
      <c r="L21" s="115"/>
      <c r="M21" s="115"/>
    </row>
    <row r="22" spans="1:13">
      <c r="A22" s="93" t="s">
        <v>153</v>
      </c>
      <c r="B22" s="94"/>
      <c r="C22" s="95"/>
      <c r="D22" s="95">
        <f>SUM(D17:D21)</f>
        <v>0</v>
      </c>
      <c r="E22" s="113">
        <f>+D22*0.49</f>
        <v>0</v>
      </c>
      <c r="G22" s="115"/>
      <c r="H22" s="115"/>
      <c r="I22" s="115"/>
      <c r="J22" s="115"/>
      <c r="K22" s="115"/>
      <c r="L22" s="115"/>
      <c r="M22" s="115"/>
    </row>
    <row r="23" spans="1:13">
      <c r="A23" s="93" t="s">
        <v>29</v>
      </c>
      <c r="B23" s="94"/>
      <c r="C23" s="95"/>
      <c r="D23" s="95">
        <f>+D22*12</f>
        <v>0</v>
      </c>
      <c r="E23" s="95">
        <f>+E22*12</f>
        <v>0</v>
      </c>
    </row>
    <row r="24" spans="1:13">
      <c r="A24" s="90" t="s">
        <v>177</v>
      </c>
      <c r="C24" s="92">
        <f>+D22*0.49</f>
        <v>0</v>
      </c>
      <c r="H24" s="113"/>
    </row>
    <row r="25" spans="1:13">
      <c r="A25" s="90" t="s">
        <v>178</v>
      </c>
      <c r="C25" s="92">
        <f>+D22*0.51</f>
        <v>0</v>
      </c>
      <c r="H25" s="113"/>
    </row>
    <row r="26" spans="1:13">
      <c r="H26" s="113"/>
    </row>
    <row r="27" spans="1:13">
      <c r="H27" s="113"/>
    </row>
  </sheetData>
  <pageMargins left="0.7" right="0.7" top="0.75" bottom="0.75" header="0.3" footer="0.3"/>
  <pageSetup orientation="portrait" verticalDpi="599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55" workbookViewId="0">
      <selection activeCell="C22" sqref="C22"/>
    </sheetView>
  </sheetViews>
  <sheetFormatPr defaultRowHeight="12"/>
  <cols>
    <col min="1" max="1" width="29.140625" style="120" bestFit="1" customWidth="1"/>
    <col min="2" max="2" width="9" style="120" bestFit="1" customWidth="1"/>
    <col min="3" max="3" width="13.42578125" style="113" bestFit="1" customWidth="1"/>
    <col min="4" max="4" width="13.5703125" style="124" bestFit="1" customWidth="1"/>
    <col min="5" max="5" width="12.7109375" style="120" customWidth="1"/>
    <col min="6" max="7" width="11" style="120" bestFit="1" customWidth="1"/>
    <col min="8" max="8" width="12" style="120" bestFit="1" customWidth="1"/>
    <col min="9" max="9" width="13.5703125" style="120" bestFit="1" customWidth="1"/>
    <col min="10" max="10" width="9.140625" style="142"/>
    <col min="11" max="11" width="8.7109375" style="120" customWidth="1"/>
    <col min="12" max="16384" width="9.140625" style="120"/>
  </cols>
  <sheetData>
    <row r="1" spans="1:8">
      <c r="A1" s="120" t="s">
        <v>176</v>
      </c>
      <c r="B1" s="120" t="s">
        <v>59</v>
      </c>
      <c r="C1" s="113" t="s">
        <v>183</v>
      </c>
      <c r="D1" s="113" t="s">
        <v>182</v>
      </c>
      <c r="F1" s="121"/>
      <c r="G1" s="121"/>
      <c r="H1" s="121"/>
    </row>
    <row r="2" spans="1:8">
      <c r="A2" s="122" t="s">
        <v>215</v>
      </c>
      <c r="D2" s="113"/>
      <c r="F2" s="121"/>
      <c r="G2" s="121"/>
      <c r="H2" s="121"/>
    </row>
    <row r="3" spans="1:8">
      <c r="A3" s="123" t="s">
        <v>197</v>
      </c>
      <c r="B3" s="120">
        <v>153</v>
      </c>
      <c r="C3" s="113">
        <f>+D3*B3</f>
        <v>470781</v>
      </c>
      <c r="D3" s="113">
        <v>3077</v>
      </c>
      <c r="E3" s="120" t="s">
        <v>185</v>
      </c>
      <c r="F3" s="121"/>
      <c r="G3" s="121"/>
      <c r="H3" s="121"/>
    </row>
    <row r="4" spans="1:8">
      <c r="A4" s="123" t="s">
        <v>184</v>
      </c>
      <c r="B4" s="120">
        <v>1</v>
      </c>
      <c r="C4" s="113">
        <v>7000</v>
      </c>
      <c r="D4" s="113">
        <v>7000</v>
      </c>
      <c r="E4" s="120" t="s">
        <v>186</v>
      </c>
      <c r="F4" s="121"/>
      <c r="G4" s="121"/>
      <c r="H4" s="121"/>
    </row>
    <row r="5" spans="1:8">
      <c r="A5" s="123" t="s">
        <v>189</v>
      </c>
      <c r="B5" s="120">
        <v>2</v>
      </c>
      <c r="C5" s="113">
        <f>+D5*B5</f>
        <v>928</v>
      </c>
      <c r="D5" s="124">
        <v>464</v>
      </c>
      <c r="E5" s="125" t="s">
        <v>185</v>
      </c>
      <c r="F5" s="126"/>
      <c r="G5" s="121"/>
      <c r="H5" s="121"/>
    </row>
    <row r="6" spans="1:8">
      <c r="A6" s="123" t="s">
        <v>187</v>
      </c>
      <c r="B6" s="120">
        <v>1</v>
      </c>
      <c r="C6" s="113">
        <v>16500</v>
      </c>
      <c r="E6" s="125"/>
      <c r="F6" s="126"/>
      <c r="G6" s="121"/>
      <c r="H6" s="121"/>
    </row>
    <row r="7" spans="1:8">
      <c r="A7" s="123" t="s">
        <v>188</v>
      </c>
      <c r="B7" s="120">
        <v>1</v>
      </c>
      <c r="C7" s="113">
        <v>297.5</v>
      </c>
      <c r="E7" s="125"/>
      <c r="F7" s="126"/>
      <c r="G7" s="121"/>
      <c r="H7" s="121"/>
    </row>
    <row r="8" spans="1:8">
      <c r="A8" s="127" t="s">
        <v>181</v>
      </c>
      <c r="C8" s="128">
        <f>SUM(C3:C7)</f>
        <v>495506.5</v>
      </c>
      <c r="E8" s="125"/>
      <c r="F8" s="126"/>
      <c r="G8" s="121"/>
      <c r="H8" s="121"/>
    </row>
    <row r="9" spans="1:8">
      <c r="A9" s="129"/>
      <c r="B9" s="129"/>
      <c r="C9" s="130"/>
      <c r="D9" s="130"/>
      <c r="E9" s="129"/>
      <c r="F9" s="129"/>
      <c r="G9" s="129"/>
      <c r="H9" s="129"/>
    </row>
    <row r="10" spans="1:8">
      <c r="A10" s="122" t="s">
        <v>214</v>
      </c>
      <c r="B10" s="122"/>
      <c r="C10" s="130"/>
      <c r="D10" s="130"/>
      <c r="E10" s="129"/>
      <c r="F10" s="129"/>
      <c r="G10" s="129"/>
      <c r="H10" s="129"/>
    </row>
    <row r="11" spans="1:8">
      <c r="A11" s="123" t="s">
        <v>179</v>
      </c>
      <c r="B11" s="123">
        <v>2</v>
      </c>
      <c r="C11" s="124">
        <v>76688</v>
      </c>
      <c r="E11" s="120" t="s">
        <v>192</v>
      </c>
    </row>
    <row r="12" spans="1:8">
      <c r="A12" s="123" t="s">
        <v>180</v>
      </c>
      <c r="B12" s="123"/>
      <c r="C12" s="113">
        <v>4800</v>
      </c>
      <c r="E12" s="125"/>
      <c r="F12" s="125"/>
    </row>
    <row r="13" spans="1:8">
      <c r="A13" s="127" t="s">
        <v>181</v>
      </c>
      <c r="B13" s="127"/>
      <c r="C13" s="128">
        <f>SUM(C11:C12)</f>
        <v>81488</v>
      </c>
      <c r="E13" s="125"/>
      <c r="F13" s="125"/>
    </row>
    <row r="14" spans="1:8">
      <c r="E14" s="125"/>
      <c r="F14" s="125"/>
    </row>
    <row r="15" spans="1:8">
      <c r="A15" s="122" t="s">
        <v>216</v>
      </c>
      <c r="E15" s="125"/>
      <c r="F15" s="125"/>
    </row>
    <row r="16" spans="1:8" ht="20.25" customHeight="1">
      <c r="A16" s="123" t="s">
        <v>190</v>
      </c>
      <c r="B16" s="120">
        <v>2</v>
      </c>
      <c r="C16" s="113">
        <f t="shared" ref="C16:C17" si="0">+D16*B16</f>
        <v>19980</v>
      </c>
      <c r="D16" s="124">
        <v>9990</v>
      </c>
      <c r="E16" s="131" t="s">
        <v>191</v>
      </c>
      <c r="F16" s="125"/>
    </row>
    <row r="17" spans="1:12">
      <c r="A17" s="123" t="s">
        <v>193</v>
      </c>
      <c r="B17" s="120">
        <v>2</v>
      </c>
      <c r="C17" s="113">
        <f t="shared" si="0"/>
        <v>1700</v>
      </c>
      <c r="D17" s="124">
        <v>850</v>
      </c>
      <c r="E17" s="125"/>
      <c r="F17" s="125"/>
    </row>
    <row r="18" spans="1:12">
      <c r="A18" s="127" t="s">
        <v>181</v>
      </c>
      <c r="B18" s="127"/>
      <c r="C18" s="128">
        <f>SUM(C16:C17)</f>
        <v>21680</v>
      </c>
      <c r="D18" s="130"/>
      <c r="E18" s="132"/>
      <c r="F18" s="132"/>
      <c r="G18" s="122"/>
      <c r="H18" s="122"/>
    </row>
    <row r="19" spans="1:12">
      <c r="A19" s="122"/>
      <c r="B19" s="122"/>
      <c r="E19" s="133"/>
      <c r="F19" s="125"/>
    </row>
    <row r="20" spans="1:12">
      <c r="E20" s="125"/>
      <c r="F20" s="126"/>
      <c r="G20" s="121"/>
      <c r="H20" s="121"/>
    </row>
    <row r="21" spans="1:12">
      <c r="A21" s="160" t="s">
        <v>203</v>
      </c>
      <c r="B21" s="160"/>
      <c r="C21" s="160"/>
      <c r="D21" s="160"/>
      <c r="E21" s="160"/>
      <c r="F21" s="125"/>
    </row>
    <row r="22" spans="1:12" ht="45">
      <c r="A22" s="134" t="s">
        <v>30</v>
      </c>
      <c r="B22" s="135" t="s">
        <v>89</v>
      </c>
      <c r="C22" s="135" t="s">
        <v>31</v>
      </c>
      <c r="D22" s="136" t="s">
        <v>207</v>
      </c>
      <c r="E22" s="136" t="s">
        <v>217</v>
      </c>
      <c r="F22" s="137" t="s">
        <v>204</v>
      </c>
      <c r="G22" s="138" t="s">
        <v>205</v>
      </c>
      <c r="H22" s="138" t="s">
        <v>206</v>
      </c>
      <c r="I22" s="138" t="s">
        <v>208</v>
      </c>
      <c r="J22" s="144" t="s">
        <v>211</v>
      </c>
      <c r="K22" s="145" t="s">
        <v>209</v>
      </c>
      <c r="L22" s="146" t="s">
        <v>210</v>
      </c>
    </row>
    <row r="23" spans="1:12">
      <c r="A23" s="90" t="s">
        <v>33</v>
      </c>
      <c r="B23" s="118" t="s">
        <v>65</v>
      </c>
      <c r="C23" s="12">
        <v>345</v>
      </c>
      <c r="D23" s="92">
        <f>+C23*150</f>
        <v>51750</v>
      </c>
      <c r="E23" s="92">
        <f t="shared" ref="E23:E56" si="1">+(C23/$C$57)*$C$8</f>
        <v>13334.61329953198</v>
      </c>
      <c r="F23" s="92">
        <f>+(C23/$C$57)*$C$13</f>
        <v>2192.9297971918877</v>
      </c>
      <c r="G23" s="92">
        <f>+(C23/$C$57)*$C$18</f>
        <v>583.43213728549142</v>
      </c>
      <c r="H23" s="139">
        <f>SUM(E23:G23)</f>
        <v>16110.97523400936</v>
      </c>
      <c r="I23" s="139">
        <f>+D23-H23</f>
        <v>35639.024765990638</v>
      </c>
      <c r="J23" s="143">
        <f>+(C23/$C$57)*$B$3</f>
        <v>4.1173946957878318</v>
      </c>
      <c r="K23" s="120">
        <v>2</v>
      </c>
      <c r="L23" s="142">
        <f>+J23-K23</f>
        <v>2.1173946957878318</v>
      </c>
    </row>
    <row r="24" spans="1:12">
      <c r="A24" s="90" t="s">
        <v>64</v>
      </c>
      <c r="B24" s="118" t="s">
        <v>66</v>
      </c>
      <c r="C24" s="12">
        <v>375</v>
      </c>
      <c r="D24" s="92">
        <f t="shared" ref="D24:D56" si="2">+C24*150</f>
        <v>56250</v>
      </c>
      <c r="E24" s="92">
        <f t="shared" si="1"/>
        <v>14494.144890795631</v>
      </c>
      <c r="F24" s="92">
        <f t="shared" ref="F24:F56" si="3">+(C24/$C$57)*$C$13</f>
        <v>2383.619344773791</v>
      </c>
      <c r="G24" s="92">
        <f t="shared" ref="G24:G56" si="4">+(C24/$C$57)*$C$18</f>
        <v>634.16536661466455</v>
      </c>
      <c r="H24" s="139">
        <f t="shared" ref="H24:H56" si="5">SUM(E24:G24)</f>
        <v>17511.929602184086</v>
      </c>
      <c r="I24" s="139">
        <f t="shared" ref="I24:I56" si="6">+D24-H24</f>
        <v>38738.070397815914</v>
      </c>
      <c r="J24" s="143">
        <f t="shared" ref="J24:J56" si="7">+(C24/$C$57)*$B$3</f>
        <v>4.4754290171606863</v>
      </c>
      <c r="K24" s="120">
        <v>4</v>
      </c>
      <c r="L24" s="142">
        <f t="shared" ref="L24:L56" si="8">+J24-K24</f>
        <v>0.47542901716068631</v>
      </c>
    </row>
    <row r="25" spans="1:12">
      <c r="A25" s="90" t="s">
        <v>34</v>
      </c>
      <c r="B25" s="118" t="s">
        <v>67</v>
      </c>
      <c r="C25" s="12">
        <v>480</v>
      </c>
      <c r="D25" s="92">
        <f t="shared" si="2"/>
        <v>72000</v>
      </c>
      <c r="E25" s="92">
        <f t="shared" si="1"/>
        <v>18552.50546021841</v>
      </c>
      <c r="F25" s="92">
        <f t="shared" si="3"/>
        <v>3051.0327613104523</v>
      </c>
      <c r="G25" s="92">
        <f t="shared" si="4"/>
        <v>811.73166926677072</v>
      </c>
      <c r="H25" s="139">
        <f t="shared" si="5"/>
        <v>22415.269890795633</v>
      </c>
      <c r="I25" s="139">
        <f t="shared" si="6"/>
        <v>49584.730109204364</v>
      </c>
      <c r="J25" s="143">
        <f t="shared" si="7"/>
        <v>5.7285491419656784</v>
      </c>
      <c r="K25" s="120">
        <v>3</v>
      </c>
      <c r="L25" s="142">
        <f t="shared" si="8"/>
        <v>2.7285491419656784</v>
      </c>
    </row>
    <row r="26" spans="1:12">
      <c r="A26" s="90" t="s">
        <v>35</v>
      </c>
      <c r="B26" s="118" t="s">
        <v>68</v>
      </c>
      <c r="C26" s="12">
        <v>522</v>
      </c>
      <c r="D26" s="92">
        <f t="shared" si="2"/>
        <v>78300</v>
      </c>
      <c r="E26" s="92">
        <f t="shared" si="1"/>
        <v>20175.849687987517</v>
      </c>
      <c r="F26" s="92">
        <f t="shared" si="3"/>
        <v>3317.9981279251169</v>
      </c>
      <c r="G26" s="92">
        <f t="shared" si="4"/>
        <v>882.75819032761308</v>
      </c>
      <c r="H26" s="139">
        <f t="shared" si="5"/>
        <v>24376.606006240243</v>
      </c>
      <c r="I26" s="139">
        <f t="shared" si="6"/>
        <v>53923.393993759761</v>
      </c>
      <c r="J26" s="143">
        <f t="shared" si="7"/>
        <v>6.2297971918876751</v>
      </c>
      <c r="K26" s="120">
        <v>1</v>
      </c>
      <c r="L26" s="142">
        <f t="shared" si="8"/>
        <v>5.2297971918876751</v>
      </c>
    </row>
    <row r="27" spans="1:12">
      <c r="A27" s="90" t="s">
        <v>36</v>
      </c>
      <c r="B27" s="118" t="s">
        <v>69</v>
      </c>
      <c r="C27" s="12">
        <v>763</v>
      </c>
      <c r="D27" s="92">
        <f t="shared" si="2"/>
        <v>114450</v>
      </c>
      <c r="E27" s="92">
        <f t="shared" si="1"/>
        <v>29490.753471138843</v>
      </c>
      <c r="F27" s="92">
        <f t="shared" si="3"/>
        <v>4849.8708268330729</v>
      </c>
      <c r="G27" s="92">
        <f t="shared" si="4"/>
        <v>1290.3151326053041</v>
      </c>
      <c r="H27" s="139">
        <f t="shared" si="5"/>
        <v>35630.939430577222</v>
      </c>
      <c r="I27" s="139">
        <f t="shared" si="6"/>
        <v>78819.060569422785</v>
      </c>
      <c r="J27" s="143">
        <f t="shared" si="7"/>
        <v>9.1060062402496094</v>
      </c>
      <c r="K27" s="120">
        <v>18</v>
      </c>
      <c r="L27" s="142">
        <f t="shared" si="8"/>
        <v>-8.8939937597503906</v>
      </c>
    </row>
    <row r="28" spans="1:12">
      <c r="A28" s="90" t="s">
        <v>37</v>
      </c>
      <c r="B28" s="118" t="s">
        <v>70</v>
      </c>
      <c r="C28" s="12">
        <v>674</v>
      </c>
      <c r="D28" s="92">
        <f t="shared" si="2"/>
        <v>101100</v>
      </c>
      <c r="E28" s="92">
        <f t="shared" si="1"/>
        <v>26050.809750390017</v>
      </c>
      <c r="F28" s="92">
        <f t="shared" si="3"/>
        <v>4284.1585023400939</v>
      </c>
      <c r="G28" s="92">
        <f t="shared" si="4"/>
        <v>1139.8065522620905</v>
      </c>
      <c r="H28" s="139">
        <f t="shared" si="5"/>
        <v>31474.774804992201</v>
      </c>
      <c r="I28" s="139">
        <f t="shared" si="6"/>
        <v>69625.225195007806</v>
      </c>
      <c r="J28" s="143">
        <f t="shared" si="7"/>
        <v>8.0438377535101413</v>
      </c>
      <c r="K28" s="120">
        <v>17</v>
      </c>
      <c r="L28" s="142">
        <f t="shared" si="8"/>
        <v>-8.9561622464898587</v>
      </c>
    </row>
    <row r="29" spans="1:12">
      <c r="A29" s="90" t="s">
        <v>38</v>
      </c>
      <c r="B29" s="118" t="s">
        <v>3</v>
      </c>
      <c r="C29" s="12">
        <v>526</v>
      </c>
      <c r="D29" s="92">
        <f t="shared" si="2"/>
        <v>78900</v>
      </c>
      <c r="E29" s="92">
        <f t="shared" si="1"/>
        <v>20330.453900156008</v>
      </c>
      <c r="F29" s="92">
        <f t="shared" si="3"/>
        <v>3343.4234009360375</v>
      </c>
      <c r="G29" s="92">
        <f t="shared" si="4"/>
        <v>889.52262090483623</v>
      </c>
      <c r="H29" s="139">
        <f t="shared" si="5"/>
        <v>24563.399921996883</v>
      </c>
      <c r="I29" s="139">
        <f t="shared" si="6"/>
        <v>54336.600078003117</v>
      </c>
      <c r="J29" s="143">
        <f t="shared" si="7"/>
        <v>6.2775351014040561</v>
      </c>
      <c r="K29" s="120">
        <v>3</v>
      </c>
      <c r="L29" s="142">
        <f t="shared" si="8"/>
        <v>3.2775351014040561</v>
      </c>
    </row>
    <row r="30" spans="1:12">
      <c r="A30" s="90" t="s">
        <v>39</v>
      </c>
      <c r="B30" s="118" t="s">
        <v>71</v>
      </c>
      <c r="C30" s="12">
        <v>379</v>
      </c>
      <c r="D30" s="92">
        <f t="shared" si="2"/>
        <v>56850</v>
      </c>
      <c r="E30" s="92">
        <f t="shared" si="1"/>
        <v>14648.749102964119</v>
      </c>
      <c r="F30" s="92">
        <f t="shared" si="3"/>
        <v>2409.0446177847116</v>
      </c>
      <c r="G30" s="92">
        <f t="shared" si="4"/>
        <v>640.9297971918877</v>
      </c>
      <c r="H30" s="139">
        <f t="shared" si="5"/>
        <v>17698.723517940714</v>
      </c>
      <c r="I30" s="139">
        <f t="shared" si="6"/>
        <v>39151.276482059286</v>
      </c>
      <c r="J30" s="143">
        <f t="shared" si="7"/>
        <v>4.5231669266770673</v>
      </c>
      <c r="K30" s="120">
        <v>4</v>
      </c>
      <c r="L30" s="142">
        <f t="shared" si="8"/>
        <v>0.52316692667706732</v>
      </c>
    </row>
    <row r="31" spans="1:12">
      <c r="A31" s="90" t="s">
        <v>40</v>
      </c>
      <c r="B31" s="88">
        <v>16065374</v>
      </c>
      <c r="C31" s="12">
        <v>165</v>
      </c>
      <c r="D31" s="92">
        <f t="shared" si="2"/>
        <v>24750</v>
      </c>
      <c r="E31" s="92">
        <f t="shared" si="1"/>
        <v>6377.4237519500784</v>
      </c>
      <c r="F31" s="92">
        <f t="shared" si="3"/>
        <v>1048.7925117004681</v>
      </c>
      <c r="G31" s="92">
        <f t="shared" si="4"/>
        <v>279.03276131045243</v>
      </c>
      <c r="H31" s="139">
        <f t="shared" si="5"/>
        <v>7705.2490249609991</v>
      </c>
      <c r="I31" s="139">
        <f t="shared" si="6"/>
        <v>17044.750975039002</v>
      </c>
      <c r="J31" s="143">
        <f t="shared" si="7"/>
        <v>1.969188767550702</v>
      </c>
      <c r="K31" s="120">
        <v>2</v>
      </c>
      <c r="L31" s="142">
        <f t="shared" si="8"/>
        <v>-3.0811232449297954E-2</v>
      </c>
    </row>
    <row r="32" spans="1:12">
      <c r="A32" s="90" t="s">
        <v>41</v>
      </c>
      <c r="B32" s="118" t="s">
        <v>72</v>
      </c>
      <c r="C32" s="12">
        <v>814</v>
      </c>
      <c r="D32" s="92">
        <f t="shared" si="2"/>
        <v>122100</v>
      </c>
      <c r="E32" s="92">
        <f t="shared" si="1"/>
        <v>31461.957176287055</v>
      </c>
      <c r="F32" s="92">
        <f t="shared" si="3"/>
        <v>5174.0430577223087</v>
      </c>
      <c r="G32" s="92">
        <f t="shared" si="4"/>
        <v>1376.5616224648986</v>
      </c>
      <c r="H32" s="139">
        <f t="shared" si="5"/>
        <v>38012.561856474262</v>
      </c>
      <c r="I32" s="139">
        <f t="shared" si="6"/>
        <v>84087.438143525738</v>
      </c>
      <c r="J32" s="143">
        <f t="shared" si="7"/>
        <v>9.7146645865834635</v>
      </c>
      <c r="K32" s="120">
        <v>13</v>
      </c>
      <c r="L32" s="142">
        <f t="shared" si="8"/>
        <v>-3.2853354134165365</v>
      </c>
    </row>
    <row r="33" spans="1:12">
      <c r="A33" s="90" t="s">
        <v>42</v>
      </c>
      <c r="B33" s="118" t="s">
        <v>73</v>
      </c>
      <c r="C33" s="12">
        <v>728</v>
      </c>
      <c r="D33" s="92">
        <f t="shared" si="2"/>
        <v>109200</v>
      </c>
      <c r="E33" s="92">
        <f t="shared" si="1"/>
        <v>28137.966614664587</v>
      </c>
      <c r="F33" s="92">
        <f t="shared" si="3"/>
        <v>4627.3996879875194</v>
      </c>
      <c r="G33" s="92">
        <f t="shared" si="4"/>
        <v>1231.1263650546023</v>
      </c>
      <c r="H33" s="139">
        <f t="shared" si="5"/>
        <v>33996.492667706705</v>
      </c>
      <c r="I33" s="139">
        <f t="shared" si="6"/>
        <v>75203.507332293288</v>
      </c>
      <c r="J33" s="143">
        <f t="shared" si="7"/>
        <v>8.6882995319812792</v>
      </c>
      <c r="K33" s="120">
        <v>7</v>
      </c>
      <c r="L33" s="142">
        <f t="shared" si="8"/>
        <v>1.6882995319812792</v>
      </c>
    </row>
    <row r="34" spans="1:12">
      <c r="A34" s="90" t="s">
        <v>43</v>
      </c>
      <c r="B34" s="118" t="s">
        <v>74</v>
      </c>
      <c r="C34" s="12">
        <v>214</v>
      </c>
      <c r="D34" s="92">
        <f t="shared" si="2"/>
        <v>32100</v>
      </c>
      <c r="E34" s="92">
        <f t="shared" si="1"/>
        <v>8271.3253510140421</v>
      </c>
      <c r="F34" s="92">
        <f t="shared" si="3"/>
        <v>1360.2521060842435</v>
      </c>
      <c r="G34" s="92">
        <f t="shared" si="4"/>
        <v>361.89703588143527</v>
      </c>
      <c r="H34" s="139">
        <f t="shared" si="5"/>
        <v>9993.4744929797198</v>
      </c>
      <c r="I34" s="139">
        <f t="shared" si="6"/>
        <v>22106.52550702028</v>
      </c>
      <c r="J34" s="143">
        <f t="shared" si="7"/>
        <v>2.5539781591263653</v>
      </c>
      <c r="K34" s="120">
        <v>0</v>
      </c>
      <c r="L34" s="142">
        <f t="shared" si="8"/>
        <v>2.5539781591263653</v>
      </c>
    </row>
    <row r="35" spans="1:12">
      <c r="A35" s="90" t="s">
        <v>44</v>
      </c>
      <c r="B35" s="118" t="s">
        <v>75</v>
      </c>
      <c r="C35" s="12">
        <v>404</v>
      </c>
      <c r="D35" s="92">
        <f t="shared" si="2"/>
        <v>60600</v>
      </c>
      <c r="E35" s="92">
        <f t="shared" si="1"/>
        <v>15615.02542901716</v>
      </c>
      <c r="F35" s="92">
        <f t="shared" si="3"/>
        <v>2567.9525741029638</v>
      </c>
      <c r="G35" s="92">
        <f t="shared" si="4"/>
        <v>683.20748829953197</v>
      </c>
      <c r="H35" s="139">
        <f t="shared" si="5"/>
        <v>18866.185491419656</v>
      </c>
      <c r="I35" s="139">
        <f t="shared" si="6"/>
        <v>41733.814508580341</v>
      </c>
      <c r="J35" s="143">
        <f t="shared" si="7"/>
        <v>4.8215288611544462</v>
      </c>
      <c r="K35" s="120">
        <v>8</v>
      </c>
      <c r="L35" s="142">
        <f t="shared" si="8"/>
        <v>-3.1784711388455538</v>
      </c>
    </row>
    <row r="36" spans="1:12">
      <c r="A36" s="90" t="s">
        <v>45</v>
      </c>
      <c r="B36" s="118" t="s">
        <v>76</v>
      </c>
      <c r="C36" s="12">
        <v>1178</v>
      </c>
      <c r="D36" s="92">
        <f t="shared" si="2"/>
        <v>176700</v>
      </c>
      <c r="E36" s="92">
        <f t="shared" si="1"/>
        <v>45530.940483619343</v>
      </c>
      <c r="F36" s="92">
        <f t="shared" si="3"/>
        <v>7487.7429017160684</v>
      </c>
      <c r="G36" s="92">
        <f t="shared" si="4"/>
        <v>1992.1248049921996</v>
      </c>
      <c r="H36" s="139">
        <f t="shared" si="5"/>
        <v>55010.808190327611</v>
      </c>
      <c r="I36" s="139">
        <f t="shared" si="6"/>
        <v>121689.1918096724</v>
      </c>
      <c r="J36" s="143">
        <f t="shared" si="7"/>
        <v>14.058814352574101</v>
      </c>
      <c r="K36" s="120">
        <v>11</v>
      </c>
      <c r="L36" s="142">
        <f t="shared" si="8"/>
        <v>3.0588143525741014</v>
      </c>
    </row>
    <row r="37" spans="1:12">
      <c r="A37" s="90" t="s">
        <v>46</v>
      </c>
      <c r="B37" s="118" t="s">
        <v>77</v>
      </c>
      <c r="C37" s="12">
        <v>1337</v>
      </c>
      <c r="D37" s="92">
        <f t="shared" si="2"/>
        <v>200550</v>
      </c>
      <c r="E37" s="92">
        <f t="shared" si="1"/>
        <v>51676.457917316693</v>
      </c>
      <c r="F37" s="92">
        <f t="shared" si="3"/>
        <v>8498.3975039001562</v>
      </c>
      <c r="G37" s="92">
        <f t="shared" si="4"/>
        <v>2261.0109204368173</v>
      </c>
      <c r="H37" s="139">
        <f t="shared" si="5"/>
        <v>62435.866341653673</v>
      </c>
      <c r="I37" s="139">
        <f t="shared" si="6"/>
        <v>138114.13365834631</v>
      </c>
      <c r="J37" s="143">
        <f t="shared" si="7"/>
        <v>15.956396255850233</v>
      </c>
      <c r="K37" s="120">
        <v>17</v>
      </c>
      <c r="L37" s="142">
        <f t="shared" si="8"/>
        <v>-1.0436037441497668</v>
      </c>
    </row>
    <row r="38" spans="1:12">
      <c r="A38" s="90" t="s">
        <v>47</v>
      </c>
      <c r="B38" s="118" t="s">
        <v>78</v>
      </c>
      <c r="C38" s="12">
        <v>65</v>
      </c>
      <c r="D38" s="92">
        <f t="shared" si="2"/>
        <v>9750</v>
      </c>
      <c r="E38" s="92">
        <f t="shared" si="1"/>
        <v>2512.3184477379095</v>
      </c>
      <c r="F38" s="92">
        <f t="shared" si="3"/>
        <v>413.16068642745711</v>
      </c>
      <c r="G38" s="92">
        <f t="shared" si="4"/>
        <v>109.92199687987519</v>
      </c>
      <c r="H38" s="139">
        <f t="shared" si="5"/>
        <v>3035.401131045242</v>
      </c>
      <c r="I38" s="139">
        <f t="shared" si="6"/>
        <v>6714.5988689547576</v>
      </c>
      <c r="J38" s="143">
        <f t="shared" si="7"/>
        <v>0.77574102964118563</v>
      </c>
      <c r="K38" s="120">
        <v>2</v>
      </c>
      <c r="L38" s="142">
        <f t="shared" si="8"/>
        <v>-1.2242589703588145</v>
      </c>
    </row>
    <row r="39" spans="1:12">
      <c r="A39" s="90" t="s">
        <v>48</v>
      </c>
      <c r="B39" s="118" t="s">
        <v>79</v>
      </c>
      <c r="C39" s="12">
        <v>306</v>
      </c>
      <c r="D39" s="92">
        <f t="shared" si="2"/>
        <v>45900</v>
      </c>
      <c r="E39" s="92">
        <f t="shared" si="1"/>
        <v>11827.222230889236</v>
      </c>
      <c r="F39" s="92">
        <f t="shared" si="3"/>
        <v>1945.0333853354134</v>
      </c>
      <c r="G39" s="92">
        <f t="shared" si="4"/>
        <v>517.47893915756629</v>
      </c>
      <c r="H39" s="139">
        <f t="shared" si="5"/>
        <v>14289.734555382216</v>
      </c>
      <c r="I39" s="139">
        <f t="shared" si="6"/>
        <v>31610.265444617784</v>
      </c>
      <c r="J39" s="143">
        <f t="shared" si="7"/>
        <v>3.6519500780031202</v>
      </c>
      <c r="K39" s="120">
        <v>2</v>
      </c>
      <c r="L39" s="142">
        <f t="shared" si="8"/>
        <v>1.6519500780031202</v>
      </c>
    </row>
    <row r="40" spans="1:12">
      <c r="A40" s="90" t="s">
        <v>49</v>
      </c>
      <c r="B40" s="118" t="s">
        <v>80</v>
      </c>
      <c r="C40" s="12">
        <v>600</v>
      </c>
      <c r="D40" s="92">
        <f t="shared" si="2"/>
        <v>90000</v>
      </c>
      <c r="E40" s="92">
        <f t="shared" si="1"/>
        <v>23190.631825273013</v>
      </c>
      <c r="F40" s="92">
        <f t="shared" si="3"/>
        <v>3813.7909516380655</v>
      </c>
      <c r="G40" s="92">
        <f t="shared" si="4"/>
        <v>1014.6645865834633</v>
      </c>
      <c r="H40" s="139">
        <f t="shared" si="5"/>
        <v>28019.087363494538</v>
      </c>
      <c r="I40" s="139">
        <f t="shared" si="6"/>
        <v>61980.912636505462</v>
      </c>
      <c r="J40" s="143">
        <f t="shared" si="7"/>
        <v>7.1606864274570983</v>
      </c>
      <c r="K40" s="120">
        <v>2</v>
      </c>
      <c r="L40" s="142">
        <f t="shared" si="8"/>
        <v>5.1606864274570983</v>
      </c>
    </row>
    <row r="41" spans="1:12">
      <c r="A41" s="90" t="s">
        <v>50</v>
      </c>
      <c r="B41" s="118" t="s">
        <v>81</v>
      </c>
      <c r="C41" s="12">
        <v>318</v>
      </c>
      <c r="D41" s="92">
        <f t="shared" si="2"/>
        <v>47700</v>
      </c>
      <c r="E41" s="92">
        <f t="shared" si="1"/>
        <v>12291.034867394696</v>
      </c>
      <c r="F41" s="92">
        <f t="shared" si="3"/>
        <v>2021.3092043681747</v>
      </c>
      <c r="G41" s="92">
        <f t="shared" si="4"/>
        <v>537.77223088923552</v>
      </c>
      <c r="H41" s="139">
        <f t="shared" si="5"/>
        <v>14850.116302652106</v>
      </c>
      <c r="I41" s="139">
        <f t="shared" si="6"/>
        <v>32849.88369734789</v>
      </c>
      <c r="J41" s="143">
        <f t="shared" si="7"/>
        <v>3.7951638065522619</v>
      </c>
      <c r="K41" s="120">
        <v>4</v>
      </c>
      <c r="L41" s="142">
        <f t="shared" si="8"/>
        <v>-0.20483619344773807</v>
      </c>
    </row>
    <row r="42" spans="1:12">
      <c r="A42" s="90" t="s">
        <v>51</v>
      </c>
      <c r="B42" s="118" t="s">
        <v>82</v>
      </c>
      <c r="C42" s="12">
        <v>509</v>
      </c>
      <c r="D42" s="92">
        <f t="shared" si="2"/>
        <v>76350</v>
      </c>
      <c r="E42" s="92">
        <f t="shared" si="1"/>
        <v>19673.385998439935</v>
      </c>
      <c r="F42" s="92">
        <f t="shared" si="3"/>
        <v>3235.3659906396251</v>
      </c>
      <c r="G42" s="92">
        <f t="shared" si="4"/>
        <v>860.77379095163803</v>
      </c>
      <c r="H42" s="139">
        <f t="shared" si="5"/>
        <v>23769.525780031196</v>
      </c>
      <c r="I42" s="139">
        <f t="shared" si="6"/>
        <v>52580.474219968804</v>
      </c>
      <c r="J42" s="143">
        <f t="shared" si="7"/>
        <v>6.0746489859594375</v>
      </c>
      <c r="K42" s="120">
        <v>2</v>
      </c>
      <c r="L42" s="142">
        <f t="shared" si="8"/>
        <v>4.0746489859594375</v>
      </c>
    </row>
    <row r="43" spans="1:12">
      <c r="A43" s="90" t="s">
        <v>52</v>
      </c>
      <c r="B43" s="118" t="s">
        <v>83</v>
      </c>
      <c r="C43" s="12">
        <v>524</v>
      </c>
      <c r="D43" s="92">
        <f t="shared" si="2"/>
        <v>78600</v>
      </c>
      <c r="E43" s="92">
        <f t="shared" si="1"/>
        <v>20253.151794071764</v>
      </c>
      <c r="F43" s="92">
        <f t="shared" si="3"/>
        <v>3330.710764430577</v>
      </c>
      <c r="G43" s="92">
        <f t="shared" si="4"/>
        <v>886.1404056162246</v>
      </c>
      <c r="H43" s="139">
        <f t="shared" si="5"/>
        <v>24470.002964118565</v>
      </c>
      <c r="I43" s="139">
        <f t="shared" si="6"/>
        <v>54129.997035881432</v>
      </c>
      <c r="J43" s="143">
        <f t="shared" si="7"/>
        <v>6.2536661466458661</v>
      </c>
      <c r="K43" s="120">
        <v>9</v>
      </c>
      <c r="L43" s="142">
        <f t="shared" si="8"/>
        <v>-2.7463338533541339</v>
      </c>
    </row>
    <row r="44" spans="1:12">
      <c r="A44" s="90" t="s">
        <v>53</v>
      </c>
      <c r="B44" s="118" t="s">
        <v>84</v>
      </c>
      <c r="C44" s="12">
        <v>104</v>
      </c>
      <c r="D44" s="92">
        <f t="shared" si="2"/>
        <v>15600</v>
      </c>
      <c r="E44" s="92">
        <f t="shared" si="1"/>
        <v>4019.7095163806548</v>
      </c>
      <c r="F44" s="92">
        <f t="shared" si="3"/>
        <v>661.05709828393128</v>
      </c>
      <c r="G44" s="92">
        <f t="shared" si="4"/>
        <v>175.8751950078003</v>
      </c>
      <c r="H44" s="139">
        <f t="shared" si="5"/>
        <v>4856.6418096723864</v>
      </c>
      <c r="I44" s="139">
        <f t="shared" si="6"/>
        <v>10743.358190327614</v>
      </c>
      <c r="J44" s="143">
        <f t="shared" si="7"/>
        <v>1.2411856474258969</v>
      </c>
      <c r="L44" s="142">
        <f t="shared" si="8"/>
        <v>1.2411856474258969</v>
      </c>
    </row>
    <row r="45" spans="1:12">
      <c r="A45" s="90" t="s">
        <v>54</v>
      </c>
      <c r="B45" s="118" t="s">
        <v>85</v>
      </c>
      <c r="C45" s="12">
        <v>357</v>
      </c>
      <c r="D45" s="92">
        <f t="shared" si="2"/>
        <v>53550</v>
      </c>
      <c r="E45" s="92">
        <f t="shared" si="1"/>
        <v>13798.425936037442</v>
      </c>
      <c r="F45" s="92">
        <f t="shared" si="3"/>
        <v>2269.205616224649</v>
      </c>
      <c r="G45" s="92">
        <f t="shared" si="4"/>
        <v>603.72542901716076</v>
      </c>
      <c r="H45" s="139">
        <f t="shared" si="5"/>
        <v>16671.356981279252</v>
      </c>
      <c r="I45" s="139">
        <f t="shared" si="6"/>
        <v>36878.643018720744</v>
      </c>
      <c r="J45" s="143">
        <f t="shared" si="7"/>
        <v>4.260608424336974</v>
      </c>
      <c r="K45" s="120">
        <v>3</v>
      </c>
      <c r="L45" s="142">
        <f t="shared" si="8"/>
        <v>1.260608424336974</v>
      </c>
    </row>
    <row r="46" spans="1:12">
      <c r="A46" s="90" t="s">
        <v>55</v>
      </c>
      <c r="B46" s="118" t="s">
        <v>86</v>
      </c>
      <c r="C46" s="12">
        <v>267</v>
      </c>
      <c r="D46" s="92">
        <f t="shared" si="2"/>
        <v>40050</v>
      </c>
      <c r="E46" s="92">
        <f t="shared" si="1"/>
        <v>10319.83116224649</v>
      </c>
      <c r="F46" s="92">
        <f t="shared" si="3"/>
        <v>1697.1369734789394</v>
      </c>
      <c r="G46" s="92">
        <f t="shared" si="4"/>
        <v>451.52574102964121</v>
      </c>
      <c r="H46" s="139">
        <f t="shared" si="5"/>
        <v>12468.49387675507</v>
      </c>
      <c r="I46" s="139">
        <f t="shared" si="6"/>
        <v>27581.50612324493</v>
      </c>
      <c r="J46" s="143">
        <f t="shared" si="7"/>
        <v>3.1865054602184091</v>
      </c>
      <c r="K46" s="120">
        <v>4</v>
      </c>
      <c r="L46" s="142">
        <f t="shared" si="8"/>
        <v>-0.81349453978159092</v>
      </c>
    </row>
    <row r="47" spans="1:12">
      <c r="A47" s="90" t="s">
        <v>56</v>
      </c>
      <c r="B47" s="118" t="s">
        <v>87</v>
      </c>
      <c r="C47" s="12">
        <v>325</v>
      </c>
      <c r="D47" s="92">
        <f t="shared" si="2"/>
        <v>48750</v>
      </c>
      <c r="E47" s="92">
        <f t="shared" si="1"/>
        <v>12561.592238689547</v>
      </c>
      <c r="F47" s="92">
        <f t="shared" si="3"/>
        <v>2065.8034321372852</v>
      </c>
      <c r="G47" s="92">
        <f t="shared" si="4"/>
        <v>549.609984399376</v>
      </c>
      <c r="H47" s="139">
        <f t="shared" si="5"/>
        <v>15177.005655226209</v>
      </c>
      <c r="I47" s="139">
        <f t="shared" si="6"/>
        <v>33572.99434477379</v>
      </c>
      <c r="J47" s="143">
        <f t="shared" si="7"/>
        <v>3.878705148205928</v>
      </c>
      <c r="K47" s="120">
        <v>3</v>
      </c>
      <c r="L47" s="142">
        <f t="shared" si="8"/>
        <v>0.87870514820592804</v>
      </c>
    </row>
    <row r="48" spans="1:12">
      <c r="A48" s="90" t="s">
        <v>57</v>
      </c>
      <c r="B48" s="118" t="s">
        <v>88</v>
      </c>
      <c r="C48" s="12">
        <v>397</v>
      </c>
      <c r="D48" s="92">
        <f t="shared" si="2"/>
        <v>59550</v>
      </c>
      <c r="E48" s="92">
        <f t="shared" si="1"/>
        <v>15344.46805772231</v>
      </c>
      <c r="F48" s="92">
        <f t="shared" si="3"/>
        <v>2523.4583463338536</v>
      </c>
      <c r="G48" s="92">
        <f t="shared" si="4"/>
        <v>671.3697347893916</v>
      </c>
      <c r="H48" s="139">
        <f t="shared" si="5"/>
        <v>18539.296138845555</v>
      </c>
      <c r="I48" s="139">
        <f t="shared" si="6"/>
        <v>41010.703861154441</v>
      </c>
      <c r="J48" s="143">
        <f t="shared" si="7"/>
        <v>4.7379875195007806</v>
      </c>
      <c r="K48" s="120">
        <v>1</v>
      </c>
      <c r="L48" s="142">
        <f t="shared" si="8"/>
        <v>3.7379875195007806</v>
      </c>
    </row>
    <row r="49" spans="1:12">
      <c r="A49" s="90" t="s">
        <v>96</v>
      </c>
      <c r="B49" s="118" t="s">
        <v>101</v>
      </c>
      <c r="C49" s="12">
        <v>144</v>
      </c>
      <c r="D49" s="92">
        <f t="shared" si="2"/>
        <v>21600</v>
      </c>
      <c r="E49" s="92">
        <f t="shared" si="1"/>
        <v>5565.7516380655225</v>
      </c>
      <c r="F49" s="92">
        <f t="shared" si="3"/>
        <v>915.30982839313572</v>
      </c>
      <c r="G49" s="92">
        <f t="shared" si="4"/>
        <v>243.51950078003119</v>
      </c>
      <c r="H49" s="139">
        <f t="shared" si="5"/>
        <v>6724.5809672386895</v>
      </c>
      <c r="I49" s="139">
        <f t="shared" si="6"/>
        <v>14875.419032761311</v>
      </c>
      <c r="J49" s="143">
        <f t="shared" si="7"/>
        <v>1.7185647425897035</v>
      </c>
      <c r="K49" s="120">
        <v>11</v>
      </c>
      <c r="L49" s="142">
        <f t="shared" si="8"/>
        <v>-9.2814352574102958</v>
      </c>
    </row>
    <row r="50" spans="1:12">
      <c r="A50" s="120" t="s">
        <v>19</v>
      </c>
      <c r="B50" s="12">
        <v>71987</v>
      </c>
      <c r="C50" s="26">
        <v>0</v>
      </c>
      <c r="D50" s="119">
        <f t="shared" si="2"/>
        <v>0</v>
      </c>
      <c r="E50" s="92">
        <f t="shared" si="1"/>
        <v>0</v>
      </c>
      <c r="F50" s="92">
        <f t="shared" si="3"/>
        <v>0</v>
      </c>
      <c r="G50" s="92">
        <f t="shared" si="4"/>
        <v>0</v>
      </c>
      <c r="H50" s="139">
        <f t="shared" si="5"/>
        <v>0</v>
      </c>
      <c r="I50" s="139">
        <f t="shared" si="6"/>
        <v>0</v>
      </c>
      <c r="J50" s="143">
        <f t="shared" si="7"/>
        <v>0</v>
      </c>
      <c r="L50" s="142">
        <f t="shared" si="8"/>
        <v>0</v>
      </c>
    </row>
    <row r="51" spans="1:12">
      <c r="A51" s="120" t="s">
        <v>20</v>
      </c>
      <c r="B51" s="12">
        <v>71974</v>
      </c>
      <c r="C51" s="26">
        <v>0</v>
      </c>
      <c r="D51" s="119">
        <f t="shared" si="2"/>
        <v>0</v>
      </c>
      <c r="E51" s="92">
        <f t="shared" si="1"/>
        <v>0</v>
      </c>
      <c r="F51" s="92">
        <f t="shared" si="3"/>
        <v>0</v>
      </c>
      <c r="G51" s="92">
        <f t="shared" si="4"/>
        <v>0</v>
      </c>
      <c r="H51" s="139">
        <f t="shared" si="5"/>
        <v>0</v>
      </c>
      <c r="I51" s="139">
        <f t="shared" si="6"/>
        <v>0</v>
      </c>
      <c r="J51" s="143">
        <f t="shared" si="7"/>
        <v>0</v>
      </c>
      <c r="L51" s="142">
        <f t="shared" si="8"/>
        <v>0</v>
      </c>
    </row>
    <row r="52" spans="1:12">
      <c r="A52" s="120" t="s">
        <v>14</v>
      </c>
      <c r="B52" s="12">
        <v>16033223</v>
      </c>
      <c r="C52" s="26">
        <v>0</v>
      </c>
      <c r="D52" s="119">
        <f t="shared" si="2"/>
        <v>0</v>
      </c>
      <c r="E52" s="92">
        <f t="shared" si="1"/>
        <v>0</v>
      </c>
      <c r="F52" s="92">
        <f t="shared" si="3"/>
        <v>0</v>
      </c>
      <c r="G52" s="92">
        <f t="shared" si="4"/>
        <v>0</v>
      </c>
      <c r="H52" s="139">
        <f t="shared" si="5"/>
        <v>0</v>
      </c>
      <c r="I52" s="139">
        <f t="shared" si="6"/>
        <v>0</v>
      </c>
      <c r="J52" s="143">
        <f t="shared" si="7"/>
        <v>0</v>
      </c>
      <c r="L52" s="142">
        <f t="shared" si="8"/>
        <v>0</v>
      </c>
    </row>
    <row r="53" spans="1:12">
      <c r="A53" s="120" t="s">
        <v>15</v>
      </c>
      <c r="B53" s="12">
        <v>16033224</v>
      </c>
      <c r="C53" s="26">
        <v>0</v>
      </c>
      <c r="D53" s="119">
        <f t="shared" si="2"/>
        <v>0</v>
      </c>
      <c r="E53" s="92">
        <f t="shared" si="1"/>
        <v>0</v>
      </c>
      <c r="F53" s="92">
        <f t="shared" si="3"/>
        <v>0</v>
      </c>
      <c r="G53" s="92">
        <f t="shared" si="4"/>
        <v>0</v>
      </c>
      <c r="H53" s="139">
        <f t="shared" si="5"/>
        <v>0</v>
      </c>
      <c r="I53" s="139">
        <f t="shared" si="6"/>
        <v>0</v>
      </c>
      <c r="J53" s="143">
        <f t="shared" si="7"/>
        <v>0</v>
      </c>
      <c r="L53" s="142">
        <f t="shared" si="8"/>
        <v>0</v>
      </c>
    </row>
    <row r="54" spans="1:12">
      <c r="A54" s="120" t="s">
        <v>16</v>
      </c>
      <c r="B54" s="12">
        <v>16033226</v>
      </c>
      <c r="C54" s="26">
        <v>0</v>
      </c>
      <c r="D54" s="119">
        <f t="shared" si="2"/>
        <v>0</v>
      </c>
      <c r="E54" s="92">
        <f t="shared" si="1"/>
        <v>0</v>
      </c>
      <c r="F54" s="92">
        <f t="shared" si="3"/>
        <v>0</v>
      </c>
      <c r="G54" s="92">
        <f t="shared" si="4"/>
        <v>0</v>
      </c>
      <c r="H54" s="139">
        <f t="shared" si="5"/>
        <v>0</v>
      </c>
      <c r="I54" s="139">
        <f t="shared" si="6"/>
        <v>0</v>
      </c>
      <c r="J54" s="143">
        <f t="shared" si="7"/>
        <v>0</v>
      </c>
      <c r="L54" s="142">
        <f t="shared" si="8"/>
        <v>0</v>
      </c>
    </row>
    <row r="55" spans="1:12">
      <c r="A55" s="120" t="s">
        <v>17</v>
      </c>
      <c r="B55" s="12">
        <v>16033228</v>
      </c>
      <c r="C55" s="26">
        <v>0</v>
      </c>
      <c r="D55" s="119">
        <f t="shared" si="2"/>
        <v>0</v>
      </c>
      <c r="E55" s="92">
        <f t="shared" si="1"/>
        <v>0</v>
      </c>
      <c r="F55" s="92">
        <f t="shared" si="3"/>
        <v>0</v>
      </c>
      <c r="G55" s="92">
        <f t="shared" si="4"/>
        <v>0</v>
      </c>
      <c r="H55" s="139">
        <f t="shared" si="5"/>
        <v>0</v>
      </c>
      <c r="I55" s="139">
        <f t="shared" si="6"/>
        <v>0</v>
      </c>
      <c r="J55" s="143">
        <f t="shared" si="7"/>
        <v>0</v>
      </c>
      <c r="L55" s="142">
        <f t="shared" si="8"/>
        <v>0</v>
      </c>
    </row>
    <row r="56" spans="1:12">
      <c r="A56" s="120" t="s">
        <v>18</v>
      </c>
      <c r="B56" s="12">
        <v>16033227</v>
      </c>
      <c r="C56" s="26">
        <v>0</v>
      </c>
      <c r="D56" s="119">
        <f t="shared" si="2"/>
        <v>0</v>
      </c>
      <c r="E56" s="92">
        <f t="shared" si="1"/>
        <v>0</v>
      </c>
      <c r="F56" s="92">
        <f t="shared" si="3"/>
        <v>0</v>
      </c>
      <c r="G56" s="92">
        <f t="shared" si="4"/>
        <v>0</v>
      </c>
      <c r="H56" s="139">
        <f t="shared" si="5"/>
        <v>0</v>
      </c>
      <c r="I56" s="139">
        <f t="shared" si="6"/>
        <v>0</v>
      </c>
      <c r="J56" s="143">
        <f t="shared" si="7"/>
        <v>0</v>
      </c>
      <c r="L56" s="142">
        <f t="shared" si="8"/>
        <v>0</v>
      </c>
    </row>
    <row r="57" spans="1:12">
      <c r="A57" s="140" t="s">
        <v>200</v>
      </c>
      <c r="B57" s="129"/>
      <c r="C57" s="129">
        <f>SUM(C23:C56)</f>
        <v>12820</v>
      </c>
      <c r="D57" s="141">
        <f t="shared" ref="D57:I57" si="9">SUM(D23:D56)</f>
        <v>1923000</v>
      </c>
      <c r="E57" s="141">
        <f t="shared" si="9"/>
        <v>495506.50000000006</v>
      </c>
      <c r="F57" s="141">
        <f t="shared" si="9"/>
        <v>81487.999999999985</v>
      </c>
      <c r="G57" s="141">
        <f t="shared" si="9"/>
        <v>21680</v>
      </c>
      <c r="H57" s="141">
        <f t="shared" si="9"/>
        <v>598674.49999999988</v>
      </c>
      <c r="I57" s="141">
        <f t="shared" si="9"/>
        <v>1324325.5000000002</v>
      </c>
      <c r="J57" s="142">
        <f>SUM(J23:J56)</f>
        <v>153.00000000000003</v>
      </c>
      <c r="K57" s="142">
        <f>SUM(K23:K56)</f>
        <v>153</v>
      </c>
      <c r="L57" s="142">
        <f>SUM(L23:L56)</f>
        <v>-1.7763568394002505E-15</v>
      </c>
    </row>
  </sheetData>
  <mergeCells count="1">
    <mergeCell ref="A21:E21"/>
  </mergeCells>
  <phoneticPr fontId="0" type="noConversion"/>
  <printOptions gridLines="1"/>
  <pageMargins left="0.25" right="0.25" top="0.75" bottom="0.75" header="0.3" footer="0.3"/>
  <pageSetup scale="86" fitToHeight="0" orientation="landscape" horizontalDpi="4294967293" r:id="rId1"/>
  <headerFooter alignWithMargins="0">
    <oddHeader>&amp;A</oddHeader>
    <oddFooter>Page &amp;P</oddFooter>
  </headerFooter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Discounts 2015</vt:lpstr>
      <vt:lpstr>SLD Call Log</vt:lpstr>
      <vt:lpstr>Cat1</vt:lpstr>
      <vt:lpstr>Cat2</vt:lpstr>
      <vt:lpstr>'Cat1'!Print_Area</vt:lpstr>
      <vt:lpstr>'Cat2'!Print_Area</vt:lpstr>
      <vt:lpstr>'Discounts 2015'!Print_Area</vt:lpstr>
      <vt:lpstr>Summary!Print_Area</vt:lpstr>
      <vt:lpstr>Summary!Print_Titles</vt:lpstr>
    </vt:vector>
  </TitlesOfParts>
  <Company>Arch Coal,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 Contractor</dc:creator>
  <cp:lastModifiedBy>Donald Dietrich</cp:lastModifiedBy>
  <cp:lastPrinted>2015-09-28T16:05:44Z</cp:lastPrinted>
  <dcterms:created xsi:type="dcterms:W3CDTF">1998-03-20T19:29:26Z</dcterms:created>
  <dcterms:modified xsi:type="dcterms:W3CDTF">2015-11-06T03:56:43Z</dcterms:modified>
</cp:coreProperties>
</file>