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875" yWindow="3435" windowWidth="11520" windowHeight="5775" tabRatio="522"/>
  </bookViews>
  <sheets>
    <sheet name="2014legmax.xls" sheetId="3" r:id="rId1"/>
    <sheet name="Exceptions" sheetId="6" r:id="rId2"/>
    <sheet name="Weightings" sheetId="9" r:id="rId3"/>
    <sheet name="Preliminary SO66" sheetId="11" r:id="rId4"/>
    <sheet name="Audit Values" sheetId="10" r:id="rId5"/>
  </sheets>
  <definedNames>
    <definedName name="_xlnm._FilterDatabase" localSheetId="0" hidden="1">'2014legmax.xls'!$A$3:$CZ$294</definedName>
    <definedName name="_xlnm._FilterDatabase" localSheetId="4" hidden="1">'Audit Values'!$A$1:$AF$287</definedName>
    <definedName name="_xlnm._FilterDatabase" localSheetId="2" hidden="1">Weightings!$D$4:$I$290</definedName>
    <definedName name="_xlnm.Database">'2014legmax.xls'!$BB$273:$BG$285</definedName>
    <definedName name="_xlnm.Print_Area" localSheetId="0">'2014legmax.xls'!$A$1:$BL$291</definedName>
    <definedName name="_xlnm.Print_Titles" localSheetId="0">'2014legmax.xls'!$A:$A,'2014legmax.xls'!$1:$4</definedName>
  </definedNames>
  <calcPr calcId="145621" fullPrecision="0"/>
</workbook>
</file>

<file path=xl/calcChain.xml><?xml version="1.0" encoding="utf-8"?>
<calcChain xmlns="http://schemas.openxmlformats.org/spreadsheetml/2006/main">
  <c r="BA126" i="3" l="1"/>
  <c r="AP113" i="3" l="1"/>
  <c r="AF49" i="10" l="1"/>
  <c r="AE49" i="10"/>
  <c r="AD49" i="10"/>
  <c r="AC49" i="10"/>
  <c r="AF287" i="10"/>
  <c r="AE287" i="10"/>
  <c r="AD287" i="10"/>
  <c r="AF208" i="10" l="1"/>
  <c r="AE208" i="10"/>
  <c r="AD208" i="10"/>
  <c r="AF207" i="10"/>
  <c r="AE207" i="10"/>
  <c r="AD207" i="10"/>
  <c r="AF206" i="10"/>
  <c r="AE206" i="10"/>
  <c r="AD206" i="10"/>
  <c r="AF205" i="10"/>
  <c r="AE205" i="10"/>
  <c r="AD205" i="10"/>
  <c r="AF204" i="10"/>
  <c r="AE204" i="10"/>
  <c r="AD204" i="10"/>
  <c r="AF203" i="10"/>
  <c r="AE203" i="10"/>
  <c r="AD203" i="10"/>
  <c r="AF202" i="10"/>
  <c r="AE202" i="10"/>
  <c r="AD202" i="10"/>
  <c r="AF201" i="10"/>
  <c r="AE201" i="10"/>
  <c r="AD201" i="10"/>
  <c r="AF286" i="10"/>
  <c r="AE286" i="10"/>
  <c r="AD286" i="10"/>
  <c r="AF260" i="10" l="1"/>
  <c r="AE260" i="10"/>
  <c r="AD260" i="10"/>
  <c r="AF259" i="10"/>
  <c r="AE259" i="10"/>
  <c r="AD259" i="10"/>
  <c r="AF258" i="10"/>
  <c r="AE258" i="10"/>
  <c r="AD258" i="10"/>
  <c r="AF257" i="10"/>
  <c r="AE257" i="10"/>
  <c r="AD257" i="10"/>
  <c r="AF256" i="10"/>
  <c r="AE256" i="10"/>
  <c r="AD256" i="10"/>
  <c r="AF255" i="10"/>
  <c r="AE255" i="10"/>
  <c r="AD255" i="10"/>
  <c r="AF254" i="10"/>
  <c r="AE254" i="10"/>
  <c r="AD254" i="10"/>
  <c r="AF253" i="10"/>
  <c r="AE253" i="10"/>
  <c r="AD253" i="10"/>
  <c r="AF285" i="10"/>
  <c r="AE285" i="10"/>
  <c r="AD285" i="10"/>
  <c r="AF212" i="10" l="1"/>
  <c r="AE212" i="10"/>
  <c r="AD212" i="10"/>
  <c r="AF211" i="10"/>
  <c r="AE211" i="10"/>
  <c r="AD211" i="10"/>
  <c r="AF210" i="10"/>
  <c r="AE210" i="10"/>
  <c r="AD210" i="10"/>
  <c r="AF209" i="10"/>
  <c r="AE209" i="10"/>
  <c r="AD209" i="10"/>
  <c r="AF200" i="10"/>
  <c r="AE200" i="10"/>
  <c r="AD200" i="10"/>
  <c r="AF199" i="10"/>
  <c r="AE199" i="10"/>
  <c r="AD199" i="10"/>
  <c r="AF198" i="10"/>
  <c r="AE198" i="10"/>
  <c r="AD198" i="10"/>
  <c r="AF197" i="10"/>
  <c r="AE197" i="10"/>
  <c r="AD197" i="10"/>
  <c r="AF196" i="10"/>
  <c r="AE196" i="10"/>
  <c r="AD196" i="10"/>
  <c r="AF284" i="10" l="1"/>
  <c r="AE284" i="10"/>
  <c r="AD284" i="10"/>
  <c r="AF230" i="10" l="1"/>
  <c r="AE230" i="10"/>
  <c r="AD230" i="10"/>
  <c r="AF229" i="10"/>
  <c r="AE229" i="10"/>
  <c r="AD229" i="10"/>
  <c r="AF228" i="10"/>
  <c r="AE228" i="10"/>
  <c r="AD228" i="10"/>
  <c r="AF227" i="10"/>
  <c r="AE227" i="10"/>
  <c r="AD227" i="10"/>
  <c r="AF226" i="10"/>
  <c r="AE226" i="10"/>
  <c r="AD226" i="10"/>
  <c r="AF225" i="10"/>
  <c r="AE225" i="10"/>
  <c r="AD225" i="10"/>
  <c r="AF224" i="10"/>
  <c r="AE224" i="10"/>
  <c r="AD224" i="10"/>
  <c r="AF223" i="10"/>
  <c r="AE223" i="10"/>
  <c r="AD223" i="10"/>
  <c r="AF222" i="10"/>
  <c r="AE222" i="10"/>
  <c r="AD222" i="10"/>
  <c r="AF221" i="10"/>
  <c r="AE221" i="10"/>
  <c r="AD221" i="10"/>
  <c r="AF220" i="10"/>
  <c r="AE220" i="10"/>
  <c r="AD220" i="10"/>
  <c r="AF219" i="10"/>
  <c r="AE219" i="10"/>
  <c r="AD219" i="10"/>
  <c r="AF218" i="10"/>
  <c r="AE218" i="10"/>
  <c r="AD218" i="10"/>
  <c r="AF217" i="10"/>
  <c r="AE217" i="10"/>
  <c r="AD217" i="10"/>
  <c r="AF216" i="10"/>
  <c r="AE216" i="10"/>
  <c r="AD216" i="10"/>
  <c r="AF283" i="10"/>
  <c r="AE283" i="10"/>
  <c r="AD283" i="10"/>
  <c r="AF282" i="10" l="1"/>
  <c r="AE282" i="10"/>
  <c r="AD282" i="10"/>
  <c r="AF281" i="10" l="1"/>
  <c r="AE281" i="10"/>
  <c r="AD281" i="10"/>
  <c r="AF280" i="10" l="1"/>
  <c r="AE280" i="10"/>
  <c r="AD280" i="10"/>
  <c r="AF239" i="10" l="1"/>
  <c r="AE239" i="10"/>
  <c r="AD239" i="10"/>
  <c r="AF238" i="10"/>
  <c r="AE238" i="10"/>
  <c r="AD238" i="10"/>
  <c r="AF237" i="10"/>
  <c r="AE237" i="10"/>
  <c r="AD237" i="10"/>
  <c r="AF236" i="10"/>
  <c r="AE236" i="10"/>
  <c r="AD236" i="10"/>
  <c r="AF235" i="10"/>
  <c r="AE235" i="10"/>
  <c r="AD235" i="10"/>
  <c r="AD231" i="10"/>
  <c r="AE231" i="10"/>
  <c r="AF231" i="10"/>
  <c r="AD232" i="10"/>
  <c r="AE232" i="10"/>
  <c r="AF232" i="10"/>
  <c r="AD233" i="10"/>
  <c r="AE233" i="10"/>
  <c r="AF233" i="10"/>
  <c r="AC193" i="10"/>
  <c r="AC194" i="10" s="1"/>
  <c r="AC195" i="10" s="1"/>
  <c r="AC196" i="10" s="1"/>
  <c r="AC197" i="10" s="1"/>
  <c r="AC198" i="10" s="1"/>
  <c r="AC199" i="10" s="1"/>
  <c r="AC200" i="10" s="1"/>
  <c r="AD193" i="10"/>
  <c r="AE193" i="10"/>
  <c r="AF193" i="10"/>
  <c r="AD194" i="10"/>
  <c r="AE194" i="10"/>
  <c r="AF194" i="10"/>
  <c r="AD195" i="10"/>
  <c r="AE195" i="10"/>
  <c r="AF195" i="10"/>
  <c r="AF191" i="10"/>
  <c r="AE191" i="10"/>
  <c r="AD191" i="10"/>
  <c r="AF190" i="10"/>
  <c r="AE190" i="10"/>
  <c r="AD190" i="10"/>
  <c r="AF189" i="10"/>
  <c r="AE189" i="10"/>
  <c r="AD189" i="10"/>
  <c r="AF188" i="10"/>
  <c r="AE188" i="10"/>
  <c r="AD188" i="10"/>
  <c r="AF187" i="10"/>
  <c r="AE187" i="10"/>
  <c r="AD187" i="10"/>
  <c r="AF186" i="10"/>
  <c r="AE186" i="10"/>
  <c r="AD186" i="10"/>
  <c r="AF185" i="10"/>
  <c r="AE185" i="10"/>
  <c r="AD185" i="10"/>
  <c r="AF184" i="10"/>
  <c r="AE184" i="10"/>
  <c r="AD184" i="10"/>
  <c r="AF183" i="10"/>
  <c r="AE183" i="10"/>
  <c r="AD183" i="10"/>
  <c r="AF182" i="10"/>
  <c r="AE182" i="10"/>
  <c r="AD182" i="10"/>
  <c r="AF181" i="10"/>
  <c r="AE181" i="10"/>
  <c r="AD181" i="10"/>
  <c r="AF180" i="10"/>
  <c r="AE180" i="10"/>
  <c r="AD180" i="10"/>
  <c r="AF179" i="10"/>
  <c r="AE179" i="10"/>
  <c r="AD179" i="10"/>
  <c r="AF178" i="10"/>
  <c r="AE178" i="10"/>
  <c r="AD178" i="10"/>
  <c r="AF177" i="10"/>
  <c r="AE177" i="10"/>
  <c r="AD177" i="10"/>
  <c r="AF176" i="10"/>
  <c r="AE176" i="10"/>
  <c r="AD176" i="10"/>
  <c r="AF175" i="10"/>
  <c r="AE175" i="10"/>
  <c r="AD175" i="10"/>
  <c r="AF174" i="10"/>
  <c r="AE174" i="10"/>
  <c r="AD174" i="10"/>
  <c r="AF173" i="10"/>
  <c r="AE173" i="10"/>
  <c r="AD173" i="10"/>
  <c r="AF172" i="10"/>
  <c r="AE172" i="10"/>
  <c r="AD172" i="10"/>
  <c r="AF171" i="10"/>
  <c r="AE171" i="10"/>
  <c r="AD171" i="10"/>
  <c r="AF170" i="10"/>
  <c r="AE170" i="10"/>
  <c r="AD170" i="10"/>
  <c r="AF169" i="10"/>
  <c r="AE169" i="10"/>
  <c r="AD169" i="10"/>
  <c r="AF168" i="10"/>
  <c r="AE168" i="10"/>
  <c r="AD168" i="10"/>
  <c r="AF167" i="10"/>
  <c r="AE167" i="10"/>
  <c r="AD167" i="10"/>
  <c r="AF166" i="10"/>
  <c r="AE166" i="10"/>
  <c r="AD166" i="10"/>
  <c r="AF165" i="10"/>
  <c r="AE165" i="10"/>
  <c r="AD165" i="10"/>
  <c r="AF164" i="10"/>
  <c r="AE164" i="10"/>
  <c r="AD164" i="10"/>
  <c r="AF163" i="10"/>
  <c r="AE163" i="10"/>
  <c r="AD163" i="10"/>
  <c r="AF162" i="10"/>
  <c r="AE162" i="10"/>
  <c r="AD162" i="10"/>
  <c r="AF148" i="10"/>
  <c r="AE148" i="10"/>
  <c r="AD148" i="10"/>
  <c r="AF147" i="10"/>
  <c r="AE147" i="10"/>
  <c r="AD147" i="10"/>
  <c r="AF146" i="10"/>
  <c r="AE146" i="10"/>
  <c r="AD146" i="10"/>
  <c r="AF145" i="10"/>
  <c r="AE145" i="10"/>
  <c r="AD145" i="10"/>
  <c r="AF144" i="10"/>
  <c r="AE144" i="10"/>
  <c r="AD144" i="10"/>
  <c r="AF143" i="10"/>
  <c r="AE143" i="10"/>
  <c r="AD143" i="10"/>
  <c r="AF142" i="10"/>
  <c r="AE142" i="10"/>
  <c r="AD142" i="10"/>
  <c r="AF141" i="10"/>
  <c r="AE141" i="10"/>
  <c r="AD141" i="10"/>
  <c r="AF140" i="10"/>
  <c r="AE140" i="10"/>
  <c r="AD140" i="10"/>
  <c r="AF139" i="10"/>
  <c r="AE139" i="10"/>
  <c r="AD139" i="10"/>
  <c r="AF138" i="10"/>
  <c r="AE138" i="10"/>
  <c r="AD138" i="10"/>
  <c r="AD155" i="10"/>
  <c r="AE155" i="10"/>
  <c r="AF155" i="10"/>
  <c r="AD156" i="10"/>
  <c r="AE156" i="10"/>
  <c r="AF156" i="10"/>
  <c r="AD157" i="10"/>
  <c r="AE157" i="10"/>
  <c r="AF157" i="10"/>
  <c r="AD158" i="10"/>
  <c r="AE158" i="10"/>
  <c r="AF158" i="10"/>
  <c r="AD159" i="10"/>
  <c r="AE159" i="10"/>
  <c r="AF159" i="10"/>
  <c r="AD160" i="10"/>
  <c r="AE160" i="10"/>
  <c r="AF160" i="10"/>
  <c r="AD161" i="10"/>
  <c r="AE161" i="10"/>
  <c r="AF161" i="10"/>
  <c r="AF66" i="10"/>
  <c r="AE66" i="10"/>
  <c r="AD66" i="10"/>
  <c r="AF65" i="10"/>
  <c r="AE65" i="10"/>
  <c r="AD65" i="10"/>
  <c r="AF64" i="10"/>
  <c r="AE64" i="10"/>
  <c r="AD64" i="10"/>
  <c r="AF63" i="10"/>
  <c r="AE63" i="10"/>
  <c r="AD63" i="10"/>
  <c r="AF62" i="10"/>
  <c r="AE62" i="10"/>
  <c r="AD62" i="10"/>
  <c r="AF61" i="10"/>
  <c r="AE61" i="10"/>
  <c r="AD61" i="10"/>
  <c r="AF60" i="10"/>
  <c r="AE60" i="10"/>
  <c r="AD60" i="10"/>
  <c r="AF59" i="10"/>
  <c r="AE59" i="10"/>
  <c r="AD59" i="10"/>
  <c r="AF58" i="10"/>
  <c r="AE58" i="10"/>
  <c r="AD58" i="10"/>
  <c r="AF57" i="10"/>
  <c r="AE57" i="10"/>
  <c r="AD57" i="10"/>
  <c r="AF56" i="10"/>
  <c r="AE56" i="10"/>
  <c r="AD56" i="10"/>
  <c r="AF53" i="10"/>
  <c r="AE53" i="10"/>
  <c r="AD53" i="10"/>
  <c r="AF52" i="10"/>
  <c r="AE52" i="10"/>
  <c r="AD52" i="10"/>
  <c r="AF51" i="10"/>
  <c r="AE51" i="10"/>
  <c r="AD51" i="10"/>
  <c r="AF25" i="10"/>
  <c r="AE25" i="10"/>
  <c r="AD25" i="10"/>
  <c r="AF24" i="10"/>
  <c r="AE24" i="10"/>
  <c r="AD24" i="10"/>
  <c r="AF23" i="10"/>
  <c r="AE23" i="10"/>
  <c r="AD23" i="10"/>
  <c r="AF22" i="10"/>
  <c r="AE22" i="10"/>
  <c r="AD22" i="10"/>
  <c r="AF21" i="10"/>
  <c r="AE21" i="10"/>
  <c r="AD21" i="10"/>
  <c r="AF20" i="10"/>
  <c r="AE20" i="10"/>
  <c r="AD20" i="10"/>
  <c r="AF19" i="10"/>
  <c r="AE19" i="10"/>
  <c r="AD19" i="10"/>
  <c r="AF18" i="10"/>
  <c r="AE18" i="10"/>
  <c r="AD18" i="10"/>
  <c r="AF17" i="10"/>
  <c r="AE17" i="10"/>
  <c r="AD17" i="10"/>
  <c r="AF16" i="10"/>
  <c r="AE16" i="10"/>
  <c r="AD16" i="10"/>
  <c r="AF15" i="10"/>
  <c r="AE15" i="10"/>
  <c r="AD15" i="10"/>
  <c r="AF14" i="10"/>
  <c r="AE14" i="10"/>
  <c r="AD14" i="10"/>
  <c r="AF13" i="10"/>
  <c r="AE13" i="10"/>
  <c r="AD13" i="10"/>
  <c r="AF12" i="10"/>
  <c r="AE12" i="10"/>
  <c r="AD12" i="10"/>
  <c r="AF11" i="10"/>
  <c r="AE11" i="10"/>
  <c r="AD11" i="10"/>
  <c r="AF10" i="10"/>
  <c r="AE10" i="10"/>
  <c r="AD10" i="10"/>
  <c r="AF9" i="10"/>
  <c r="AE9" i="10"/>
  <c r="AD9" i="10"/>
  <c r="AF8" i="10"/>
  <c r="AE8" i="10"/>
  <c r="AD8" i="10"/>
  <c r="AF7" i="10"/>
  <c r="AE7" i="10"/>
  <c r="AD7" i="10"/>
  <c r="AF279" i="10"/>
  <c r="AE279" i="10"/>
  <c r="AD279" i="10"/>
  <c r="AF278" i="10"/>
  <c r="AE278" i="10"/>
  <c r="AD278" i="10"/>
  <c r="AF277" i="10"/>
  <c r="AE277" i="10"/>
  <c r="AD277" i="10"/>
  <c r="AF276" i="10"/>
  <c r="AE276" i="10"/>
  <c r="AD276" i="10"/>
  <c r="AF275" i="10"/>
  <c r="AE275" i="10"/>
  <c r="AD275" i="10"/>
  <c r="AF274" i="10"/>
  <c r="AE274" i="10"/>
  <c r="AD274" i="10"/>
  <c r="AF273" i="10"/>
  <c r="AE273" i="10"/>
  <c r="AD273" i="10"/>
  <c r="AF272" i="10"/>
  <c r="AE272" i="10"/>
  <c r="AD272" i="10"/>
  <c r="AF271" i="10"/>
  <c r="AE271" i="10"/>
  <c r="AD271" i="10"/>
  <c r="AF270" i="10"/>
  <c r="AE270" i="10"/>
  <c r="AD270" i="10"/>
  <c r="AF269" i="10"/>
  <c r="AE269" i="10"/>
  <c r="AD269" i="10"/>
  <c r="AF268" i="10"/>
  <c r="AE268" i="10"/>
  <c r="AD268" i="10"/>
  <c r="AF267" i="10"/>
  <c r="AE267" i="10"/>
  <c r="AD267" i="10"/>
  <c r="AF266" i="10"/>
  <c r="AE266" i="10"/>
  <c r="AD266" i="10"/>
  <c r="AF265" i="10"/>
  <c r="AE265" i="10"/>
  <c r="AD265" i="10"/>
  <c r="AF264" i="10"/>
  <c r="AE264" i="10"/>
  <c r="AD264" i="10"/>
  <c r="AF263" i="10"/>
  <c r="AE263" i="10"/>
  <c r="AD263" i="10"/>
  <c r="AF262" i="10"/>
  <c r="AE262" i="10"/>
  <c r="AD262" i="10"/>
  <c r="AF261" i="10"/>
  <c r="AE261" i="10"/>
  <c r="AD261" i="10"/>
  <c r="AC201" i="10" l="1"/>
  <c r="AC202" i="10" s="1"/>
  <c r="AC203" i="10" s="1"/>
  <c r="AC204" i="10" s="1"/>
  <c r="AC205" i="10" s="1"/>
  <c r="AC206" i="10" s="1"/>
  <c r="AC207" i="10" s="1"/>
  <c r="AC208" i="10" s="1"/>
  <c r="AC209" i="10" s="1"/>
  <c r="AC210" i="10" s="1"/>
  <c r="AC211" i="10" s="1"/>
  <c r="AC212" i="10" s="1"/>
  <c r="AI267" i="3"/>
  <c r="AD240" i="10" l="1"/>
  <c r="AE240" i="10"/>
  <c r="AF240" i="10"/>
  <c r="AD241" i="10"/>
  <c r="AE241" i="10"/>
  <c r="AF241" i="10"/>
  <c r="AD242" i="10"/>
  <c r="AE242" i="10"/>
  <c r="AF242" i="10"/>
  <c r="AD243" i="10"/>
  <c r="AE243" i="10"/>
  <c r="AF243" i="10"/>
  <c r="AD244" i="10"/>
  <c r="AE244" i="10"/>
  <c r="AF244" i="10"/>
  <c r="AD245" i="10"/>
  <c r="AE245" i="10"/>
  <c r="AF245" i="10"/>
  <c r="AD246" i="10"/>
  <c r="AE246" i="10"/>
  <c r="AF246" i="10"/>
  <c r="AD247" i="10"/>
  <c r="AE247" i="10"/>
  <c r="AF247" i="10"/>
  <c r="AD248" i="10"/>
  <c r="AE248" i="10"/>
  <c r="AF248" i="10"/>
  <c r="AD249" i="10"/>
  <c r="AE249" i="10"/>
  <c r="AF249" i="10"/>
  <c r="AD250" i="10"/>
  <c r="AE250" i="10"/>
  <c r="AF250" i="10"/>
  <c r="AD251" i="10"/>
  <c r="AE251" i="10"/>
  <c r="AF251" i="10"/>
  <c r="AD252" i="10"/>
  <c r="AE252" i="10"/>
  <c r="AF252" i="10"/>
  <c r="AB3" i="10" l="1"/>
  <c r="AB4" i="10"/>
  <c r="AB5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B99" i="10"/>
  <c r="AB100" i="10"/>
  <c r="AB101" i="10"/>
  <c r="AB102" i="10"/>
  <c r="AB103" i="10"/>
  <c r="AB104" i="10"/>
  <c r="AB105" i="10"/>
  <c r="AB106" i="10"/>
  <c r="AB107" i="10"/>
  <c r="AB108" i="10"/>
  <c r="AB109" i="10"/>
  <c r="AB110" i="10"/>
  <c r="AB111" i="10"/>
  <c r="AB112" i="10"/>
  <c r="AB113" i="10"/>
  <c r="AB114" i="10"/>
  <c r="AB115" i="10"/>
  <c r="AB116" i="10"/>
  <c r="AB117" i="10"/>
  <c r="AB118" i="10"/>
  <c r="AB119" i="10"/>
  <c r="AB120" i="10"/>
  <c r="AB121" i="10"/>
  <c r="AB122" i="10"/>
  <c r="AB123" i="10"/>
  <c r="AB124" i="10"/>
  <c r="AB125" i="10"/>
  <c r="AB126" i="10"/>
  <c r="AB127" i="10"/>
  <c r="AB128" i="10"/>
  <c r="AB129" i="10"/>
  <c r="AB130" i="10"/>
  <c r="AB131" i="10"/>
  <c r="AB132" i="10"/>
  <c r="AB133" i="10"/>
  <c r="AB134" i="10"/>
  <c r="AB135" i="10"/>
  <c r="AB136" i="10"/>
  <c r="AB137" i="10"/>
  <c r="AB138" i="10"/>
  <c r="AB139" i="10"/>
  <c r="AB140" i="10"/>
  <c r="AB141" i="10"/>
  <c r="AB142" i="10"/>
  <c r="AB143" i="10"/>
  <c r="AB144" i="10"/>
  <c r="AB145" i="10"/>
  <c r="AB146" i="10"/>
  <c r="AB147" i="10"/>
  <c r="AB148" i="10"/>
  <c r="AB149" i="10"/>
  <c r="AB150" i="10"/>
  <c r="AB151" i="10"/>
  <c r="AB152" i="10"/>
  <c r="AB153" i="10"/>
  <c r="AB154" i="10"/>
  <c r="AB155" i="10"/>
  <c r="AB156" i="10"/>
  <c r="AB157" i="10"/>
  <c r="AB158" i="10"/>
  <c r="AB159" i="10"/>
  <c r="AB160" i="10"/>
  <c r="AB161" i="10"/>
  <c r="AB162" i="10"/>
  <c r="AB163" i="10"/>
  <c r="AB164" i="10"/>
  <c r="AB165" i="10"/>
  <c r="AB166" i="10"/>
  <c r="AB167" i="10"/>
  <c r="AB168" i="10"/>
  <c r="AB169" i="10"/>
  <c r="AB170" i="10"/>
  <c r="AB171" i="10"/>
  <c r="AB172" i="10"/>
  <c r="AB173" i="10"/>
  <c r="AB174" i="10"/>
  <c r="AB175" i="10"/>
  <c r="AB176" i="10"/>
  <c r="AB177" i="10"/>
  <c r="AB178" i="10"/>
  <c r="AB179" i="10"/>
  <c r="AB180" i="10"/>
  <c r="AB181" i="10"/>
  <c r="AB182" i="10"/>
  <c r="AB183" i="10"/>
  <c r="AB184" i="10"/>
  <c r="AB185" i="10"/>
  <c r="AB186" i="10"/>
  <c r="AB187" i="10"/>
  <c r="AB188" i="10"/>
  <c r="AB189" i="10"/>
  <c r="AB190" i="10"/>
  <c r="AB191" i="10"/>
  <c r="AB192" i="10"/>
  <c r="AB193" i="10"/>
  <c r="AB194" i="10"/>
  <c r="AB195" i="10"/>
  <c r="AB196" i="10"/>
  <c r="AB197" i="10"/>
  <c r="AB198" i="10"/>
  <c r="AB199" i="10"/>
  <c r="AB200" i="10"/>
  <c r="AB201" i="10"/>
  <c r="AB202" i="10"/>
  <c r="AB203" i="10"/>
  <c r="AB204" i="10"/>
  <c r="AB205" i="10"/>
  <c r="AB206" i="10"/>
  <c r="AB207" i="10"/>
  <c r="AB208" i="10"/>
  <c r="AB209" i="10"/>
  <c r="AB210" i="10"/>
  <c r="AB211" i="10"/>
  <c r="AB212" i="10"/>
  <c r="AB213" i="10"/>
  <c r="AB214" i="10"/>
  <c r="AB215" i="10"/>
  <c r="AB216" i="10"/>
  <c r="AB217" i="10"/>
  <c r="AB218" i="10"/>
  <c r="AB219" i="10"/>
  <c r="AB220" i="10"/>
  <c r="AB221" i="10"/>
  <c r="AB222" i="10"/>
  <c r="AB223" i="10"/>
  <c r="AB224" i="10"/>
  <c r="AB225" i="10"/>
  <c r="AB226" i="10"/>
  <c r="AB227" i="10"/>
  <c r="AB228" i="10"/>
  <c r="AB229" i="10"/>
  <c r="AB230" i="10"/>
  <c r="AB231" i="10"/>
  <c r="AB232" i="10"/>
  <c r="AB233" i="10"/>
  <c r="AB234" i="10"/>
  <c r="AB235" i="10"/>
  <c r="AB236" i="10"/>
  <c r="O238" i="3" s="1"/>
  <c r="AB237" i="10"/>
  <c r="AB238" i="10"/>
  <c r="AB239" i="10"/>
  <c r="AB2" i="10"/>
  <c r="AD234" i="10" l="1"/>
  <c r="AE234" i="10"/>
  <c r="AF234" i="10"/>
  <c r="AD93" i="10" l="1"/>
  <c r="AE93" i="10"/>
  <c r="AF93" i="10"/>
  <c r="AD94" i="10"/>
  <c r="AE94" i="10"/>
  <c r="AF94" i="10"/>
  <c r="AD95" i="10"/>
  <c r="AE95" i="10"/>
  <c r="AF95" i="10"/>
  <c r="AD96" i="10"/>
  <c r="AE96" i="10"/>
  <c r="AF96" i="10"/>
  <c r="AD97" i="10"/>
  <c r="AE97" i="10"/>
  <c r="AF97" i="10"/>
  <c r="AD98" i="10"/>
  <c r="AE98" i="10"/>
  <c r="AF98" i="10"/>
  <c r="AD99" i="10"/>
  <c r="AE99" i="10"/>
  <c r="AF99" i="10"/>
  <c r="AD100" i="10"/>
  <c r="AE100" i="10"/>
  <c r="AF100" i="10"/>
  <c r="AD101" i="10"/>
  <c r="AE101" i="10"/>
  <c r="AF101" i="10"/>
  <c r="AD102" i="10"/>
  <c r="AE102" i="10"/>
  <c r="AF102" i="10"/>
  <c r="AD103" i="10"/>
  <c r="AE103" i="10"/>
  <c r="AF103" i="10"/>
  <c r="AD104" i="10"/>
  <c r="AE104" i="10"/>
  <c r="AF104" i="10"/>
  <c r="AD105" i="10"/>
  <c r="AE105" i="10"/>
  <c r="AF105" i="10"/>
  <c r="AD106" i="10"/>
  <c r="AE106" i="10"/>
  <c r="AF106" i="10"/>
  <c r="AD107" i="10"/>
  <c r="AE107" i="10"/>
  <c r="AF107" i="10"/>
  <c r="AD108" i="10"/>
  <c r="AE108" i="10"/>
  <c r="AF108" i="10"/>
  <c r="AD109" i="10"/>
  <c r="AE109" i="10"/>
  <c r="AF109" i="10"/>
  <c r="AD110" i="10"/>
  <c r="AE110" i="10"/>
  <c r="AF110" i="10"/>
  <c r="AD111" i="10"/>
  <c r="AE111" i="10"/>
  <c r="AF111" i="10"/>
  <c r="AD112" i="10"/>
  <c r="AE112" i="10"/>
  <c r="AF112" i="10"/>
  <c r="AD113" i="10"/>
  <c r="AE113" i="10"/>
  <c r="AF113" i="10"/>
  <c r="AD114" i="10"/>
  <c r="AE114" i="10"/>
  <c r="AF114" i="10"/>
  <c r="AD115" i="10"/>
  <c r="AE115" i="10"/>
  <c r="AF115" i="10"/>
  <c r="AD116" i="10"/>
  <c r="AE116" i="10"/>
  <c r="AF116" i="10"/>
  <c r="AD117" i="10"/>
  <c r="AE117" i="10"/>
  <c r="AF117" i="10"/>
  <c r="AD118" i="10"/>
  <c r="AE118" i="10"/>
  <c r="AF118" i="10"/>
  <c r="AD119" i="10"/>
  <c r="AE119" i="10"/>
  <c r="AF119" i="10"/>
  <c r="AD120" i="10"/>
  <c r="AE120" i="10"/>
  <c r="AF120" i="10"/>
  <c r="AD121" i="10"/>
  <c r="AE121" i="10"/>
  <c r="AF121" i="10"/>
  <c r="AD122" i="10"/>
  <c r="AE122" i="10"/>
  <c r="AF122" i="10"/>
  <c r="AD123" i="10"/>
  <c r="AE123" i="10"/>
  <c r="AF123" i="10"/>
  <c r="AD124" i="10"/>
  <c r="AE124" i="10"/>
  <c r="AF124" i="10"/>
  <c r="AD125" i="10"/>
  <c r="AE125" i="10"/>
  <c r="AF125" i="10"/>
  <c r="AD126" i="10"/>
  <c r="AE126" i="10"/>
  <c r="AF126" i="10"/>
  <c r="AD127" i="10"/>
  <c r="AE127" i="10"/>
  <c r="AF127" i="10"/>
  <c r="AD128" i="10"/>
  <c r="AE128" i="10"/>
  <c r="AF128" i="10"/>
  <c r="AD129" i="10"/>
  <c r="AE129" i="10"/>
  <c r="AF129" i="10"/>
  <c r="AD130" i="10"/>
  <c r="AE130" i="10"/>
  <c r="AF130" i="10"/>
  <c r="AD131" i="10"/>
  <c r="AE131" i="10"/>
  <c r="AF131" i="10"/>
  <c r="AD132" i="10"/>
  <c r="AE132" i="10"/>
  <c r="AF132" i="10"/>
  <c r="AD133" i="10"/>
  <c r="AE133" i="10"/>
  <c r="AF133" i="10"/>
  <c r="AD134" i="10"/>
  <c r="AE134" i="10"/>
  <c r="AF134" i="10"/>
  <c r="AD135" i="10"/>
  <c r="AE135" i="10"/>
  <c r="AF135" i="10"/>
  <c r="AD136" i="10"/>
  <c r="AE136" i="10"/>
  <c r="AF136" i="10"/>
  <c r="AD137" i="10"/>
  <c r="AE137" i="10"/>
  <c r="AF137" i="10"/>
  <c r="AD149" i="10"/>
  <c r="AE149" i="10"/>
  <c r="AF149" i="10"/>
  <c r="AD150" i="10"/>
  <c r="AE150" i="10"/>
  <c r="AF150" i="10"/>
  <c r="AD151" i="10"/>
  <c r="AE151" i="10"/>
  <c r="AF151" i="10"/>
  <c r="AD152" i="10"/>
  <c r="AE152" i="10"/>
  <c r="AF152" i="10"/>
  <c r="AD153" i="10"/>
  <c r="AE153" i="10"/>
  <c r="AF153" i="10"/>
  <c r="AD154" i="10"/>
  <c r="AE154" i="10"/>
  <c r="AF154" i="10"/>
  <c r="AD213" i="10"/>
  <c r="AE213" i="10"/>
  <c r="AF213" i="10"/>
  <c r="AD214" i="10"/>
  <c r="AE214" i="10"/>
  <c r="AF214" i="10"/>
  <c r="AD215" i="10"/>
  <c r="AE215" i="10"/>
  <c r="AF215" i="10"/>
  <c r="AC214" i="10" l="1"/>
  <c r="AC215" i="10" s="1"/>
  <c r="AC216" i="10" s="1"/>
  <c r="AC217" i="10" s="1"/>
  <c r="AC218" i="10" s="1"/>
  <c r="AC219" i="10" s="1"/>
  <c r="AC220" i="10" s="1"/>
  <c r="AC221" i="10" s="1"/>
  <c r="AC222" i="10" s="1"/>
  <c r="AC223" i="10" s="1"/>
  <c r="AC224" i="10" s="1"/>
  <c r="AC225" i="10" s="1"/>
  <c r="AC226" i="10" s="1"/>
  <c r="AC227" i="10" s="1"/>
  <c r="AC228" i="10" s="1"/>
  <c r="AC229" i="10" s="1"/>
  <c r="AC230" i="10" s="1"/>
  <c r="AC231" i="10" l="1"/>
  <c r="AC232" i="10" s="1"/>
  <c r="AC233" i="10" s="1"/>
  <c r="AC234" i="10" s="1"/>
  <c r="AC235" i="10" s="1"/>
  <c r="AC236" i="10" s="1"/>
  <c r="AC237" i="10" s="1"/>
  <c r="AC238" i="10" s="1"/>
  <c r="AC239" i="10" s="1"/>
  <c r="AC241" i="10"/>
  <c r="AC242" i="10" s="1"/>
  <c r="AC243" i="10" s="1"/>
  <c r="AC244" i="10" s="1"/>
  <c r="AC245" i="10" s="1"/>
  <c r="AC246" i="10" s="1"/>
  <c r="AC247" i="10" s="1"/>
  <c r="AC248" i="10" s="1"/>
  <c r="AC249" i="10" s="1"/>
  <c r="AC250" i="10" s="1"/>
  <c r="AC251" i="10" s="1"/>
  <c r="AC252" i="10" s="1"/>
  <c r="AC253" i="10" s="1"/>
  <c r="AC254" i="10" s="1"/>
  <c r="AC255" i="10" s="1"/>
  <c r="AC256" i="10" s="1"/>
  <c r="AC257" i="10" s="1"/>
  <c r="AC258" i="10" s="1"/>
  <c r="AC259" i="10" s="1"/>
  <c r="AC260" i="10" s="1"/>
  <c r="AF192" i="10"/>
  <c r="AE192" i="10"/>
  <c r="AD192" i="10"/>
  <c r="AD85" i="10" l="1"/>
  <c r="AE85" i="10"/>
  <c r="AF85" i="10"/>
  <c r="AD86" i="10"/>
  <c r="AE86" i="10"/>
  <c r="AF86" i="10"/>
  <c r="AD87" i="10"/>
  <c r="AE87" i="10"/>
  <c r="AF87" i="10"/>
  <c r="AD88" i="10"/>
  <c r="AE88" i="10"/>
  <c r="AF88" i="10"/>
  <c r="AD89" i="10"/>
  <c r="AE89" i="10"/>
  <c r="AF89" i="10"/>
  <c r="AD90" i="10"/>
  <c r="AE90" i="10"/>
  <c r="AF90" i="10"/>
  <c r="AD91" i="10"/>
  <c r="AE91" i="10"/>
  <c r="AF91" i="10"/>
  <c r="AD92" i="10"/>
  <c r="AE92" i="10"/>
  <c r="AF92" i="10"/>
  <c r="AF84" i="10" l="1"/>
  <c r="AF83" i="10"/>
  <c r="AF82" i="10"/>
  <c r="AF81" i="10"/>
  <c r="AF80" i="10"/>
  <c r="AF79" i="10"/>
  <c r="AF78" i="10"/>
  <c r="AF77" i="10"/>
  <c r="AF76" i="10"/>
  <c r="AF75" i="10"/>
  <c r="AF74" i="10"/>
  <c r="AF73" i="10"/>
  <c r="AF72" i="10"/>
  <c r="AF71" i="10"/>
  <c r="AF70" i="10"/>
  <c r="AF69" i="10"/>
  <c r="AF68" i="10"/>
  <c r="AF67" i="10"/>
  <c r="AF55" i="10"/>
  <c r="AF54" i="10"/>
  <c r="AF50" i="10"/>
  <c r="AF48" i="10"/>
  <c r="AF47" i="10"/>
  <c r="AF46" i="10"/>
  <c r="AF45" i="10"/>
  <c r="AF44" i="10"/>
  <c r="AF43" i="10"/>
  <c r="AF42" i="10"/>
  <c r="AF41" i="10"/>
  <c r="AF40" i="10"/>
  <c r="AF39" i="10"/>
  <c r="AF38" i="10"/>
  <c r="AF37" i="10"/>
  <c r="AF36" i="10"/>
  <c r="AF35" i="10"/>
  <c r="AF34" i="10"/>
  <c r="AF33" i="10"/>
  <c r="AF32" i="10"/>
  <c r="AF31" i="10"/>
  <c r="AF30" i="10"/>
  <c r="AF29" i="10"/>
  <c r="AF28" i="10"/>
  <c r="AF27" i="10"/>
  <c r="AF26" i="10"/>
  <c r="AF6" i="10"/>
  <c r="AF5" i="10"/>
  <c r="AF4" i="10"/>
  <c r="AF3" i="10"/>
  <c r="AF2" i="10"/>
  <c r="AE84" i="10" l="1"/>
  <c r="AD84" i="10"/>
  <c r="AE35" i="10" l="1"/>
  <c r="AD35" i="10"/>
  <c r="AE67" i="10" l="1"/>
  <c r="AD67" i="10"/>
  <c r="AE29" i="10" l="1"/>
  <c r="AD29" i="10"/>
  <c r="AE28" i="10"/>
  <c r="AD28" i="10"/>
  <c r="AE83" i="10"/>
  <c r="AD83" i="10"/>
  <c r="AE82" i="10"/>
  <c r="AD82" i="10"/>
  <c r="AE81" i="10"/>
  <c r="AD81" i="10"/>
  <c r="AE80" i="10"/>
  <c r="AD80" i="10"/>
  <c r="AE79" i="10"/>
  <c r="AD79" i="10"/>
  <c r="AE78" i="10"/>
  <c r="AD78" i="10"/>
  <c r="AE77" i="10"/>
  <c r="AD77" i="10"/>
  <c r="AE76" i="10"/>
  <c r="AD76" i="10"/>
  <c r="AE75" i="10"/>
  <c r="AD75" i="10"/>
  <c r="AE74" i="10"/>
  <c r="AD74" i="10"/>
  <c r="AE73" i="10"/>
  <c r="AD73" i="10"/>
  <c r="AE72" i="10"/>
  <c r="AD72" i="10"/>
  <c r="AE71" i="10"/>
  <c r="AD71" i="10"/>
  <c r="AE70" i="10"/>
  <c r="AD70" i="10"/>
  <c r="AE69" i="10"/>
  <c r="AD69" i="10"/>
  <c r="AE68" i="10"/>
  <c r="AD68" i="10"/>
  <c r="AE54" i="10" l="1"/>
  <c r="AD54" i="10"/>
  <c r="AE50" i="10"/>
  <c r="AD50" i="10"/>
  <c r="AE48" i="10"/>
  <c r="AD48" i="10"/>
  <c r="AE47" i="10"/>
  <c r="AD47" i="10"/>
  <c r="AE46" i="10"/>
  <c r="AD46" i="10"/>
  <c r="AE45" i="10"/>
  <c r="AD45" i="10"/>
  <c r="AE44" i="10"/>
  <c r="AD44" i="10"/>
  <c r="AE43" i="10"/>
  <c r="AD43" i="10"/>
  <c r="AE42" i="10"/>
  <c r="AD42" i="10"/>
  <c r="AE41" i="10"/>
  <c r="AD41" i="10"/>
  <c r="AE40" i="10"/>
  <c r="AD40" i="10"/>
  <c r="AE39" i="10"/>
  <c r="AD39" i="10"/>
  <c r="AE37" i="10"/>
  <c r="AD37" i="10"/>
  <c r="AE36" i="10"/>
  <c r="AD36" i="10"/>
  <c r="AE34" i="10"/>
  <c r="AD34" i="10"/>
  <c r="AE33" i="10"/>
  <c r="AD33" i="10"/>
  <c r="AE32" i="10"/>
  <c r="AD32" i="10"/>
  <c r="AE31" i="10"/>
  <c r="AD31" i="10"/>
  <c r="AE30" i="10"/>
  <c r="AD30" i="10"/>
  <c r="AE27" i="10"/>
  <c r="AD27" i="10"/>
  <c r="AE26" i="10"/>
  <c r="AD26" i="10"/>
  <c r="AE55" i="10" l="1"/>
  <c r="AD55" i="10"/>
  <c r="AE38" i="10" l="1"/>
  <c r="AD38" i="10"/>
  <c r="AC3" i="10" l="1"/>
  <c r="AC4" i="10" s="1"/>
  <c r="AC5" i="10" s="1"/>
  <c r="AC6" i="10" s="1"/>
  <c r="AC7" i="10" s="1"/>
  <c r="AC8" i="10" s="1"/>
  <c r="AC9" i="10" s="1"/>
  <c r="AC10" i="10" s="1"/>
  <c r="AC11" i="10" s="1"/>
  <c r="AC12" i="10" s="1"/>
  <c r="AC13" i="10" s="1"/>
  <c r="AC14" i="10" s="1"/>
  <c r="AC15" i="10" s="1"/>
  <c r="AC16" i="10" s="1"/>
  <c r="AC17" i="10" s="1"/>
  <c r="AC18" i="10" s="1"/>
  <c r="AC19" i="10" s="1"/>
  <c r="AC20" i="10" s="1"/>
  <c r="AC21" i="10" s="1"/>
  <c r="AC22" i="10" s="1"/>
  <c r="AC23" i="10" s="1"/>
  <c r="AC24" i="10" s="1"/>
  <c r="AC25" i="10" s="1"/>
  <c r="AC26" i="10" l="1"/>
  <c r="AC27" i="10" s="1"/>
  <c r="AE3" i="10"/>
  <c r="AD3" i="10"/>
  <c r="AE6" i="10"/>
  <c r="AD6" i="10"/>
  <c r="AE5" i="10"/>
  <c r="AD5" i="10"/>
  <c r="AE4" i="10"/>
  <c r="AD4" i="10"/>
  <c r="AE2" i="10"/>
  <c r="AC28" i="10" l="1"/>
  <c r="AC29" i="10" s="1"/>
  <c r="AC30" i="10" s="1"/>
  <c r="AC31" i="10" s="1"/>
  <c r="AC32" i="10" s="1"/>
  <c r="AC33" i="10" s="1"/>
  <c r="AC34" i="10" s="1"/>
  <c r="AC35" i="10" s="1"/>
  <c r="AC36" i="10" s="1"/>
  <c r="AC37" i="10" s="1"/>
  <c r="AC38" i="10" s="1"/>
  <c r="AC39" i="10" s="1"/>
  <c r="AO72" i="3"/>
  <c r="CT290" i="3" l="1"/>
  <c r="CR290" i="3"/>
  <c r="CN290" i="3"/>
  <c r="AO290" i="3"/>
  <c r="AI290" i="3"/>
  <c r="AG290" i="3"/>
  <c r="AB290" i="3"/>
  <c r="Z290" i="3"/>
  <c r="X290" i="3"/>
  <c r="O290" i="3"/>
  <c r="M290" i="3"/>
  <c r="K290" i="3"/>
  <c r="CT289" i="3"/>
  <c r="CR289" i="3"/>
  <c r="CN289" i="3"/>
  <c r="AO289" i="3"/>
  <c r="AI289" i="3"/>
  <c r="AG289" i="3"/>
  <c r="AB289" i="3"/>
  <c r="Z289" i="3"/>
  <c r="X289" i="3"/>
  <c r="O289" i="3"/>
  <c r="M289" i="3"/>
  <c r="K289" i="3"/>
  <c r="CT288" i="3"/>
  <c r="CR288" i="3"/>
  <c r="CN288" i="3"/>
  <c r="AO288" i="3"/>
  <c r="AI288" i="3"/>
  <c r="AG288" i="3"/>
  <c r="AB288" i="3"/>
  <c r="Z288" i="3"/>
  <c r="X288" i="3"/>
  <c r="O288" i="3"/>
  <c r="M288" i="3"/>
  <c r="K288" i="3"/>
  <c r="CT287" i="3"/>
  <c r="CR287" i="3"/>
  <c r="CN287" i="3"/>
  <c r="AO287" i="3"/>
  <c r="AI287" i="3"/>
  <c r="AG287" i="3"/>
  <c r="AB287" i="3"/>
  <c r="Z287" i="3"/>
  <c r="X287" i="3"/>
  <c r="O287" i="3"/>
  <c r="M287" i="3"/>
  <c r="K287" i="3"/>
  <c r="CT286" i="3"/>
  <c r="CR286" i="3"/>
  <c r="CN286" i="3"/>
  <c r="AO286" i="3"/>
  <c r="AI286" i="3"/>
  <c r="AG286" i="3"/>
  <c r="AB286" i="3"/>
  <c r="Z286" i="3"/>
  <c r="X286" i="3"/>
  <c r="O286" i="3"/>
  <c r="M286" i="3"/>
  <c r="K286" i="3"/>
  <c r="CT285" i="3"/>
  <c r="CR285" i="3"/>
  <c r="CN285" i="3"/>
  <c r="AO285" i="3"/>
  <c r="AI285" i="3"/>
  <c r="AG285" i="3"/>
  <c r="AB285" i="3"/>
  <c r="Z285" i="3"/>
  <c r="X285" i="3"/>
  <c r="O285" i="3"/>
  <c r="M285" i="3"/>
  <c r="K285" i="3"/>
  <c r="CT284" i="3"/>
  <c r="CR284" i="3"/>
  <c r="CN284" i="3"/>
  <c r="AO284" i="3"/>
  <c r="AI284" i="3"/>
  <c r="AG284" i="3"/>
  <c r="AB284" i="3"/>
  <c r="Z284" i="3"/>
  <c r="X284" i="3"/>
  <c r="O284" i="3"/>
  <c r="M284" i="3"/>
  <c r="K284" i="3"/>
  <c r="CT283" i="3"/>
  <c r="CR283" i="3"/>
  <c r="CN283" i="3"/>
  <c r="AO283" i="3"/>
  <c r="AI283" i="3"/>
  <c r="AG283" i="3"/>
  <c r="AB283" i="3"/>
  <c r="Z283" i="3"/>
  <c r="X283" i="3"/>
  <c r="O283" i="3"/>
  <c r="M283" i="3"/>
  <c r="K283" i="3"/>
  <c r="CT282" i="3"/>
  <c r="CR282" i="3"/>
  <c r="CN282" i="3"/>
  <c r="AO282" i="3"/>
  <c r="AI282" i="3"/>
  <c r="AG282" i="3"/>
  <c r="AB282" i="3"/>
  <c r="Z282" i="3"/>
  <c r="X282" i="3"/>
  <c r="O282" i="3"/>
  <c r="M282" i="3"/>
  <c r="K282" i="3"/>
  <c r="CT281" i="3"/>
  <c r="CR281" i="3"/>
  <c r="CN281" i="3"/>
  <c r="AO281" i="3"/>
  <c r="AI281" i="3"/>
  <c r="AG281" i="3"/>
  <c r="AB281" i="3"/>
  <c r="Z281" i="3"/>
  <c r="X281" i="3"/>
  <c r="O281" i="3"/>
  <c r="M281" i="3"/>
  <c r="K281" i="3"/>
  <c r="CT280" i="3"/>
  <c r="CR280" i="3"/>
  <c r="CN280" i="3"/>
  <c r="AO280" i="3"/>
  <c r="AI280" i="3"/>
  <c r="AG280" i="3"/>
  <c r="AB280" i="3"/>
  <c r="Z280" i="3"/>
  <c r="X280" i="3"/>
  <c r="O280" i="3"/>
  <c r="M280" i="3"/>
  <c r="K280" i="3"/>
  <c r="CT279" i="3"/>
  <c r="CR279" i="3"/>
  <c r="CN279" i="3"/>
  <c r="AO279" i="3"/>
  <c r="AI279" i="3"/>
  <c r="AG279" i="3"/>
  <c r="AB279" i="3"/>
  <c r="Z279" i="3"/>
  <c r="X279" i="3"/>
  <c r="O279" i="3"/>
  <c r="M279" i="3"/>
  <c r="K279" i="3"/>
  <c r="CT278" i="3"/>
  <c r="CR278" i="3"/>
  <c r="CN278" i="3"/>
  <c r="AO278" i="3"/>
  <c r="AI278" i="3"/>
  <c r="AG278" i="3"/>
  <c r="AB278" i="3"/>
  <c r="Z278" i="3"/>
  <c r="X278" i="3"/>
  <c r="O278" i="3"/>
  <c r="M278" i="3"/>
  <c r="K278" i="3"/>
  <c r="CT277" i="3"/>
  <c r="CR277" i="3"/>
  <c r="CN277" i="3"/>
  <c r="AO277" i="3"/>
  <c r="AI277" i="3"/>
  <c r="AG277" i="3"/>
  <c r="AB277" i="3"/>
  <c r="Z277" i="3"/>
  <c r="X277" i="3"/>
  <c r="O277" i="3"/>
  <c r="M277" i="3"/>
  <c r="K277" i="3"/>
  <c r="CT276" i="3"/>
  <c r="CR276" i="3"/>
  <c r="CN276" i="3"/>
  <c r="AO276" i="3"/>
  <c r="AI276" i="3"/>
  <c r="AG276" i="3"/>
  <c r="AB276" i="3"/>
  <c r="Z276" i="3"/>
  <c r="X276" i="3"/>
  <c r="O276" i="3"/>
  <c r="M276" i="3"/>
  <c r="K276" i="3"/>
  <c r="CT275" i="3"/>
  <c r="CR275" i="3"/>
  <c r="CN275" i="3"/>
  <c r="AO275" i="3"/>
  <c r="AI275" i="3"/>
  <c r="AG275" i="3"/>
  <c r="AB275" i="3"/>
  <c r="Z275" i="3"/>
  <c r="X275" i="3"/>
  <c r="O275" i="3"/>
  <c r="M275" i="3"/>
  <c r="K275" i="3"/>
  <c r="CT274" i="3"/>
  <c r="CR274" i="3"/>
  <c r="CN274" i="3"/>
  <c r="AO274" i="3"/>
  <c r="AI274" i="3"/>
  <c r="AG274" i="3"/>
  <c r="AB274" i="3"/>
  <c r="Z274" i="3"/>
  <c r="X274" i="3"/>
  <c r="O274" i="3"/>
  <c r="M274" i="3"/>
  <c r="K274" i="3"/>
  <c r="CT273" i="3"/>
  <c r="CR273" i="3"/>
  <c r="CN273" i="3"/>
  <c r="AO273" i="3"/>
  <c r="AI273" i="3"/>
  <c r="AG273" i="3"/>
  <c r="AB273" i="3"/>
  <c r="Z273" i="3"/>
  <c r="X273" i="3"/>
  <c r="O273" i="3"/>
  <c r="M273" i="3"/>
  <c r="K273" i="3"/>
  <c r="CT272" i="3"/>
  <c r="CR272" i="3"/>
  <c r="CN272" i="3"/>
  <c r="AO272" i="3"/>
  <c r="AI272" i="3"/>
  <c r="AG272" i="3"/>
  <c r="AB272" i="3"/>
  <c r="Z272" i="3"/>
  <c r="X272" i="3"/>
  <c r="O272" i="3"/>
  <c r="M272" i="3"/>
  <c r="K272" i="3"/>
  <c r="CT271" i="3"/>
  <c r="CR271" i="3"/>
  <c r="CN271" i="3"/>
  <c r="AO271" i="3"/>
  <c r="AI271" i="3"/>
  <c r="AG271" i="3"/>
  <c r="AB271" i="3"/>
  <c r="Z271" i="3"/>
  <c r="X271" i="3"/>
  <c r="O271" i="3"/>
  <c r="M271" i="3"/>
  <c r="K271" i="3"/>
  <c r="CT270" i="3"/>
  <c r="CR270" i="3"/>
  <c r="CN270" i="3"/>
  <c r="AO270" i="3"/>
  <c r="AI270" i="3"/>
  <c r="AG270" i="3"/>
  <c r="AB270" i="3"/>
  <c r="Z270" i="3"/>
  <c r="X270" i="3"/>
  <c r="O270" i="3"/>
  <c r="M270" i="3"/>
  <c r="K270" i="3"/>
  <c r="CT269" i="3"/>
  <c r="CR269" i="3"/>
  <c r="CN269" i="3"/>
  <c r="AO269" i="3"/>
  <c r="AI269" i="3"/>
  <c r="AG269" i="3"/>
  <c r="AB269" i="3"/>
  <c r="Z269" i="3"/>
  <c r="X269" i="3"/>
  <c r="O269" i="3"/>
  <c r="M269" i="3"/>
  <c r="K269" i="3"/>
  <c r="CT268" i="3"/>
  <c r="CR268" i="3"/>
  <c r="CN268" i="3"/>
  <c r="AO268" i="3"/>
  <c r="AI268" i="3"/>
  <c r="AG268" i="3"/>
  <c r="AB268" i="3"/>
  <c r="Z268" i="3"/>
  <c r="X268" i="3"/>
  <c r="O268" i="3"/>
  <c r="M268" i="3"/>
  <c r="K268" i="3"/>
  <c r="CT267" i="3"/>
  <c r="CR267" i="3"/>
  <c r="CN267" i="3"/>
  <c r="AO267" i="3"/>
  <c r="AG267" i="3"/>
  <c r="AB267" i="3"/>
  <c r="Z267" i="3"/>
  <c r="X267" i="3"/>
  <c r="O267" i="3"/>
  <c r="M267" i="3"/>
  <c r="K267" i="3"/>
  <c r="CT266" i="3"/>
  <c r="CR266" i="3"/>
  <c r="CN266" i="3"/>
  <c r="AO266" i="3"/>
  <c r="AI266" i="3"/>
  <c r="AG266" i="3"/>
  <c r="AB266" i="3"/>
  <c r="Z266" i="3"/>
  <c r="X266" i="3"/>
  <c r="O266" i="3"/>
  <c r="M266" i="3"/>
  <c r="K266" i="3"/>
  <c r="CT265" i="3"/>
  <c r="CR265" i="3"/>
  <c r="CN265" i="3"/>
  <c r="AO265" i="3"/>
  <c r="AI265" i="3"/>
  <c r="AG265" i="3"/>
  <c r="AB265" i="3"/>
  <c r="Z265" i="3"/>
  <c r="X265" i="3"/>
  <c r="O265" i="3"/>
  <c r="M265" i="3"/>
  <c r="K265" i="3"/>
  <c r="CT264" i="3"/>
  <c r="CR264" i="3"/>
  <c r="CN264" i="3"/>
  <c r="AO264" i="3"/>
  <c r="AI264" i="3"/>
  <c r="AG264" i="3"/>
  <c r="AB264" i="3"/>
  <c r="Z264" i="3"/>
  <c r="X264" i="3"/>
  <c r="O264" i="3"/>
  <c r="M264" i="3"/>
  <c r="K264" i="3"/>
  <c r="CT263" i="3"/>
  <c r="CR263" i="3"/>
  <c r="CN263" i="3"/>
  <c r="AO263" i="3"/>
  <c r="AI263" i="3"/>
  <c r="AG263" i="3"/>
  <c r="AB263" i="3"/>
  <c r="Z263" i="3"/>
  <c r="X263" i="3"/>
  <c r="O263" i="3"/>
  <c r="M263" i="3"/>
  <c r="K263" i="3"/>
  <c r="CT262" i="3"/>
  <c r="CR262" i="3"/>
  <c r="CN262" i="3"/>
  <c r="AO262" i="3"/>
  <c r="AI262" i="3"/>
  <c r="AG262" i="3"/>
  <c r="AB262" i="3"/>
  <c r="Z262" i="3"/>
  <c r="X262" i="3"/>
  <c r="O262" i="3"/>
  <c r="M262" i="3"/>
  <c r="K262" i="3"/>
  <c r="CT261" i="3"/>
  <c r="CR261" i="3"/>
  <c r="CN261" i="3"/>
  <c r="AO261" i="3"/>
  <c r="AI261" i="3"/>
  <c r="AG261" i="3"/>
  <c r="AB261" i="3"/>
  <c r="Z261" i="3"/>
  <c r="X261" i="3"/>
  <c r="O261" i="3"/>
  <c r="M261" i="3"/>
  <c r="K261" i="3"/>
  <c r="CT260" i="3"/>
  <c r="CR260" i="3"/>
  <c r="CN260" i="3"/>
  <c r="AO260" i="3"/>
  <c r="AI260" i="3"/>
  <c r="AG260" i="3"/>
  <c r="AB260" i="3"/>
  <c r="Z260" i="3"/>
  <c r="X260" i="3"/>
  <c r="O260" i="3"/>
  <c r="M260" i="3"/>
  <c r="K260" i="3"/>
  <c r="CT259" i="3"/>
  <c r="CR259" i="3"/>
  <c r="CN259" i="3"/>
  <c r="AO259" i="3"/>
  <c r="AI259" i="3"/>
  <c r="AG259" i="3"/>
  <c r="AB259" i="3"/>
  <c r="Z259" i="3"/>
  <c r="X259" i="3"/>
  <c r="O259" i="3"/>
  <c r="M259" i="3"/>
  <c r="K259" i="3"/>
  <c r="CT258" i="3"/>
  <c r="CR258" i="3"/>
  <c r="CN258" i="3"/>
  <c r="AO258" i="3"/>
  <c r="AI258" i="3"/>
  <c r="AG258" i="3"/>
  <c r="AB258" i="3"/>
  <c r="Z258" i="3"/>
  <c r="X258" i="3"/>
  <c r="O258" i="3"/>
  <c r="M258" i="3"/>
  <c r="K258" i="3"/>
  <c r="CT257" i="3"/>
  <c r="CR257" i="3"/>
  <c r="CN257" i="3"/>
  <c r="AO257" i="3"/>
  <c r="AI257" i="3"/>
  <c r="AG257" i="3"/>
  <c r="AB257" i="3"/>
  <c r="Z257" i="3"/>
  <c r="X257" i="3"/>
  <c r="O257" i="3"/>
  <c r="M257" i="3"/>
  <c r="K257" i="3"/>
  <c r="CT256" i="3"/>
  <c r="CR256" i="3"/>
  <c r="CN256" i="3"/>
  <c r="AO256" i="3"/>
  <c r="AI256" i="3"/>
  <c r="AG256" i="3"/>
  <c r="AB256" i="3"/>
  <c r="Z256" i="3"/>
  <c r="X256" i="3"/>
  <c r="O256" i="3"/>
  <c r="M256" i="3"/>
  <c r="K256" i="3"/>
  <c r="CT255" i="3"/>
  <c r="CR255" i="3"/>
  <c r="CN255" i="3"/>
  <c r="AO255" i="3"/>
  <c r="AI255" i="3"/>
  <c r="AG255" i="3"/>
  <c r="AB255" i="3"/>
  <c r="Z255" i="3"/>
  <c r="X255" i="3"/>
  <c r="O255" i="3"/>
  <c r="M255" i="3"/>
  <c r="K255" i="3"/>
  <c r="CT254" i="3"/>
  <c r="CR254" i="3"/>
  <c r="CN254" i="3"/>
  <c r="AO254" i="3"/>
  <c r="AI254" i="3"/>
  <c r="AG254" i="3"/>
  <c r="AB254" i="3"/>
  <c r="Z254" i="3"/>
  <c r="X254" i="3"/>
  <c r="O254" i="3"/>
  <c r="M254" i="3"/>
  <c r="K254" i="3"/>
  <c r="CT253" i="3"/>
  <c r="CR253" i="3"/>
  <c r="CN253" i="3"/>
  <c r="AO253" i="3"/>
  <c r="AI253" i="3"/>
  <c r="AG253" i="3"/>
  <c r="AB253" i="3"/>
  <c r="Z253" i="3"/>
  <c r="X253" i="3"/>
  <c r="O253" i="3"/>
  <c r="M253" i="3"/>
  <c r="K253" i="3"/>
  <c r="CT252" i="3"/>
  <c r="CR252" i="3"/>
  <c r="CN252" i="3"/>
  <c r="AO252" i="3"/>
  <c r="AI252" i="3"/>
  <c r="AG252" i="3"/>
  <c r="AB252" i="3"/>
  <c r="Z252" i="3"/>
  <c r="X252" i="3"/>
  <c r="O252" i="3"/>
  <c r="M252" i="3"/>
  <c r="K252" i="3"/>
  <c r="CT251" i="3"/>
  <c r="CR251" i="3"/>
  <c r="CN251" i="3"/>
  <c r="AO251" i="3"/>
  <c r="AI251" i="3"/>
  <c r="AG251" i="3"/>
  <c r="AB251" i="3"/>
  <c r="Z251" i="3"/>
  <c r="X251" i="3"/>
  <c r="O251" i="3"/>
  <c r="M251" i="3"/>
  <c r="K251" i="3"/>
  <c r="CT250" i="3"/>
  <c r="CR250" i="3"/>
  <c r="CN250" i="3"/>
  <c r="AO250" i="3"/>
  <c r="AI250" i="3"/>
  <c r="AG250" i="3"/>
  <c r="AB250" i="3"/>
  <c r="Z250" i="3"/>
  <c r="X250" i="3"/>
  <c r="O250" i="3"/>
  <c r="M250" i="3"/>
  <c r="K250" i="3"/>
  <c r="CT249" i="3"/>
  <c r="CR249" i="3"/>
  <c r="CN249" i="3"/>
  <c r="AO249" i="3"/>
  <c r="AI249" i="3"/>
  <c r="AG249" i="3"/>
  <c r="AB249" i="3"/>
  <c r="Z249" i="3"/>
  <c r="X249" i="3"/>
  <c r="O249" i="3"/>
  <c r="M249" i="3"/>
  <c r="K249" i="3"/>
  <c r="CT248" i="3"/>
  <c r="CR248" i="3"/>
  <c r="CN248" i="3"/>
  <c r="AO248" i="3"/>
  <c r="AI248" i="3"/>
  <c r="AG248" i="3"/>
  <c r="AB248" i="3"/>
  <c r="Z248" i="3"/>
  <c r="X248" i="3"/>
  <c r="O248" i="3"/>
  <c r="M248" i="3"/>
  <c r="K248" i="3"/>
  <c r="CT247" i="3"/>
  <c r="CR247" i="3"/>
  <c r="CN247" i="3"/>
  <c r="AO247" i="3"/>
  <c r="AI247" i="3"/>
  <c r="AG247" i="3"/>
  <c r="AB247" i="3"/>
  <c r="Z247" i="3"/>
  <c r="X247" i="3"/>
  <c r="O247" i="3"/>
  <c r="M247" i="3"/>
  <c r="K247" i="3"/>
  <c r="CT246" i="3"/>
  <c r="CR246" i="3"/>
  <c r="CN246" i="3"/>
  <c r="AO246" i="3"/>
  <c r="AI246" i="3"/>
  <c r="AG246" i="3"/>
  <c r="AB246" i="3"/>
  <c r="Z246" i="3"/>
  <c r="X246" i="3"/>
  <c r="O246" i="3"/>
  <c r="M246" i="3"/>
  <c r="K246" i="3"/>
  <c r="CT245" i="3"/>
  <c r="CR245" i="3"/>
  <c r="CN245" i="3"/>
  <c r="AO245" i="3"/>
  <c r="AI245" i="3"/>
  <c r="AG245" i="3"/>
  <c r="AB245" i="3"/>
  <c r="Z245" i="3"/>
  <c r="X245" i="3"/>
  <c r="O245" i="3"/>
  <c r="M245" i="3"/>
  <c r="K245" i="3"/>
  <c r="CT244" i="3"/>
  <c r="CR244" i="3"/>
  <c r="CN244" i="3"/>
  <c r="AO244" i="3"/>
  <c r="AI244" i="3"/>
  <c r="AG244" i="3"/>
  <c r="AB244" i="3"/>
  <c r="Z244" i="3"/>
  <c r="X244" i="3"/>
  <c r="O244" i="3"/>
  <c r="M244" i="3"/>
  <c r="K244" i="3"/>
  <c r="CT243" i="3"/>
  <c r="CR243" i="3"/>
  <c r="CN243" i="3"/>
  <c r="AO243" i="3"/>
  <c r="AI243" i="3"/>
  <c r="AG243" i="3"/>
  <c r="AB243" i="3"/>
  <c r="Z243" i="3"/>
  <c r="X243" i="3"/>
  <c r="O243" i="3"/>
  <c r="M243" i="3"/>
  <c r="K243" i="3"/>
  <c r="CT242" i="3"/>
  <c r="CR242" i="3"/>
  <c r="CN242" i="3"/>
  <c r="AO242" i="3"/>
  <c r="AI242" i="3"/>
  <c r="AG242" i="3"/>
  <c r="AB242" i="3"/>
  <c r="Z242" i="3"/>
  <c r="X242" i="3"/>
  <c r="O242" i="3"/>
  <c r="M242" i="3"/>
  <c r="K242" i="3"/>
  <c r="CT241" i="3"/>
  <c r="CR241" i="3"/>
  <c r="CN241" i="3"/>
  <c r="AO241" i="3"/>
  <c r="AI241" i="3"/>
  <c r="AG241" i="3"/>
  <c r="AB241" i="3"/>
  <c r="Z241" i="3"/>
  <c r="X241" i="3"/>
  <c r="O241" i="3"/>
  <c r="M241" i="3"/>
  <c r="K241" i="3"/>
  <c r="CT240" i="3"/>
  <c r="CR240" i="3"/>
  <c r="CN240" i="3"/>
  <c r="AO240" i="3"/>
  <c r="AI240" i="3"/>
  <c r="AG240" i="3"/>
  <c r="AB240" i="3"/>
  <c r="Z240" i="3"/>
  <c r="X240" i="3"/>
  <c r="O240" i="3"/>
  <c r="M240" i="3"/>
  <c r="K240" i="3"/>
  <c r="CT239" i="3"/>
  <c r="CR239" i="3"/>
  <c r="CN239" i="3"/>
  <c r="AO239" i="3"/>
  <c r="AI239" i="3"/>
  <c r="AG239" i="3"/>
  <c r="AB239" i="3"/>
  <c r="Z239" i="3"/>
  <c r="X239" i="3"/>
  <c r="O239" i="3"/>
  <c r="M239" i="3"/>
  <c r="K239" i="3"/>
  <c r="CT238" i="3"/>
  <c r="CR238" i="3"/>
  <c r="CN238" i="3"/>
  <c r="AO238" i="3"/>
  <c r="AI238" i="3"/>
  <c r="AG238" i="3"/>
  <c r="AB238" i="3"/>
  <c r="Z238" i="3"/>
  <c r="X238" i="3"/>
  <c r="M238" i="3"/>
  <c r="K238" i="3"/>
  <c r="CT237" i="3"/>
  <c r="CR237" i="3"/>
  <c r="CN237" i="3"/>
  <c r="AO237" i="3"/>
  <c r="AI237" i="3"/>
  <c r="AG237" i="3"/>
  <c r="AB237" i="3"/>
  <c r="Z237" i="3"/>
  <c r="X237" i="3"/>
  <c r="O237" i="3"/>
  <c r="M237" i="3"/>
  <c r="K237" i="3"/>
  <c r="CT236" i="3"/>
  <c r="CR236" i="3"/>
  <c r="CN236" i="3"/>
  <c r="AO236" i="3"/>
  <c r="AI236" i="3"/>
  <c r="AG236" i="3"/>
  <c r="AB236" i="3"/>
  <c r="Z236" i="3"/>
  <c r="X236" i="3"/>
  <c r="O236" i="3"/>
  <c r="M236" i="3"/>
  <c r="K236" i="3"/>
  <c r="CT235" i="3"/>
  <c r="CR235" i="3"/>
  <c r="CN235" i="3"/>
  <c r="AO235" i="3"/>
  <c r="AI235" i="3"/>
  <c r="AG235" i="3"/>
  <c r="AB235" i="3"/>
  <c r="Z235" i="3"/>
  <c r="X235" i="3"/>
  <c r="O235" i="3"/>
  <c r="M235" i="3"/>
  <c r="K235" i="3"/>
  <c r="CT234" i="3"/>
  <c r="CR234" i="3"/>
  <c r="CN234" i="3"/>
  <c r="AO234" i="3"/>
  <c r="AI234" i="3"/>
  <c r="AG234" i="3"/>
  <c r="AB234" i="3"/>
  <c r="Z234" i="3"/>
  <c r="X234" i="3"/>
  <c r="O234" i="3"/>
  <c r="M234" i="3"/>
  <c r="K234" i="3"/>
  <c r="CT233" i="3"/>
  <c r="CR233" i="3"/>
  <c r="CN233" i="3"/>
  <c r="AO233" i="3"/>
  <c r="AI233" i="3"/>
  <c r="AG233" i="3"/>
  <c r="AB233" i="3"/>
  <c r="Z233" i="3"/>
  <c r="X233" i="3"/>
  <c r="O233" i="3"/>
  <c r="M233" i="3"/>
  <c r="K233" i="3"/>
  <c r="CT232" i="3"/>
  <c r="CR232" i="3"/>
  <c r="CN232" i="3"/>
  <c r="AO232" i="3"/>
  <c r="AI232" i="3"/>
  <c r="AG232" i="3"/>
  <c r="AB232" i="3"/>
  <c r="Z232" i="3"/>
  <c r="X232" i="3"/>
  <c r="O232" i="3"/>
  <c r="M232" i="3"/>
  <c r="K232" i="3"/>
  <c r="CT231" i="3"/>
  <c r="CR231" i="3"/>
  <c r="CN231" i="3"/>
  <c r="AO231" i="3"/>
  <c r="AI231" i="3"/>
  <c r="AG231" i="3"/>
  <c r="AB231" i="3"/>
  <c r="Z231" i="3"/>
  <c r="X231" i="3"/>
  <c r="O231" i="3"/>
  <c r="M231" i="3"/>
  <c r="K231" i="3"/>
  <c r="CT230" i="3"/>
  <c r="CR230" i="3"/>
  <c r="CN230" i="3"/>
  <c r="AO230" i="3"/>
  <c r="AI230" i="3"/>
  <c r="AG230" i="3"/>
  <c r="AB230" i="3"/>
  <c r="Z230" i="3"/>
  <c r="X230" i="3"/>
  <c r="O230" i="3"/>
  <c r="M230" i="3"/>
  <c r="K230" i="3"/>
  <c r="CT229" i="3"/>
  <c r="CR229" i="3"/>
  <c r="CN229" i="3"/>
  <c r="AO229" i="3"/>
  <c r="AI229" i="3"/>
  <c r="AG229" i="3"/>
  <c r="AB229" i="3"/>
  <c r="Z229" i="3"/>
  <c r="X229" i="3"/>
  <c r="O229" i="3"/>
  <c r="M229" i="3"/>
  <c r="K229" i="3"/>
  <c r="CT228" i="3"/>
  <c r="CR228" i="3"/>
  <c r="CN228" i="3"/>
  <c r="AO228" i="3"/>
  <c r="AI228" i="3"/>
  <c r="AG228" i="3"/>
  <c r="AB228" i="3"/>
  <c r="Z228" i="3"/>
  <c r="X228" i="3"/>
  <c r="O228" i="3"/>
  <c r="M228" i="3"/>
  <c r="K228" i="3"/>
  <c r="CT227" i="3"/>
  <c r="CR227" i="3"/>
  <c r="CN227" i="3"/>
  <c r="AO227" i="3"/>
  <c r="AI227" i="3"/>
  <c r="AG227" i="3"/>
  <c r="AB227" i="3"/>
  <c r="Z227" i="3"/>
  <c r="X227" i="3"/>
  <c r="O227" i="3"/>
  <c r="M227" i="3"/>
  <c r="K227" i="3"/>
  <c r="CT226" i="3"/>
  <c r="CR226" i="3"/>
  <c r="CN226" i="3"/>
  <c r="AO226" i="3"/>
  <c r="AI226" i="3"/>
  <c r="AG226" i="3"/>
  <c r="AB226" i="3"/>
  <c r="Z226" i="3"/>
  <c r="X226" i="3"/>
  <c r="O226" i="3"/>
  <c r="M226" i="3"/>
  <c r="K226" i="3"/>
  <c r="CT225" i="3"/>
  <c r="CR225" i="3"/>
  <c r="CN225" i="3"/>
  <c r="AO225" i="3"/>
  <c r="AI225" i="3"/>
  <c r="AG225" i="3"/>
  <c r="AB225" i="3"/>
  <c r="Z225" i="3"/>
  <c r="X225" i="3"/>
  <c r="O225" i="3"/>
  <c r="M225" i="3"/>
  <c r="K225" i="3"/>
  <c r="CT224" i="3"/>
  <c r="CR224" i="3"/>
  <c r="CN224" i="3"/>
  <c r="AO224" i="3"/>
  <c r="AI224" i="3"/>
  <c r="AG224" i="3"/>
  <c r="AB224" i="3"/>
  <c r="Z224" i="3"/>
  <c r="X224" i="3"/>
  <c r="O224" i="3"/>
  <c r="M224" i="3"/>
  <c r="K224" i="3"/>
  <c r="CT223" i="3"/>
  <c r="CR223" i="3"/>
  <c r="CN223" i="3"/>
  <c r="AO223" i="3"/>
  <c r="AI223" i="3"/>
  <c r="AG223" i="3"/>
  <c r="AB223" i="3"/>
  <c r="Z223" i="3"/>
  <c r="X223" i="3"/>
  <c r="O223" i="3"/>
  <c r="M223" i="3"/>
  <c r="K223" i="3"/>
  <c r="CT222" i="3"/>
  <c r="CR222" i="3"/>
  <c r="CN222" i="3"/>
  <c r="AO222" i="3"/>
  <c r="AI222" i="3"/>
  <c r="AG222" i="3"/>
  <c r="AB222" i="3"/>
  <c r="Z222" i="3"/>
  <c r="X222" i="3"/>
  <c r="O222" i="3"/>
  <c r="M222" i="3"/>
  <c r="K222" i="3"/>
  <c r="CT221" i="3"/>
  <c r="CR221" i="3"/>
  <c r="CN221" i="3"/>
  <c r="AO221" i="3"/>
  <c r="AI221" i="3"/>
  <c r="AG221" i="3"/>
  <c r="AB221" i="3"/>
  <c r="Z221" i="3"/>
  <c r="X221" i="3"/>
  <c r="O221" i="3"/>
  <c r="M221" i="3"/>
  <c r="K221" i="3"/>
  <c r="CT220" i="3"/>
  <c r="CR220" i="3"/>
  <c r="CN220" i="3"/>
  <c r="AO220" i="3"/>
  <c r="AI220" i="3"/>
  <c r="AG220" i="3"/>
  <c r="AB220" i="3"/>
  <c r="Z220" i="3"/>
  <c r="X220" i="3"/>
  <c r="O220" i="3"/>
  <c r="M220" i="3"/>
  <c r="K220" i="3"/>
  <c r="CT219" i="3"/>
  <c r="CR219" i="3"/>
  <c r="CN219" i="3"/>
  <c r="AO219" i="3"/>
  <c r="AI219" i="3"/>
  <c r="AG219" i="3"/>
  <c r="AB219" i="3"/>
  <c r="Z219" i="3"/>
  <c r="X219" i="3"/>
  <c r="O219" i="3"/>
  <c r="M219" i="3"/>
  <c r="K219" i="3"/>
  <c r="CT218" i="3"/>
  <c r="CR218" i="3"/>
  <c r="CN218" i="3"/>
  <c r="AO218" i="3"/>
  <c r="AI218" i="3"/>
  <c r="AG218" i="3"/>
  <c r="AB218" i="3"/>
  <c r="Z218" i="3"/>
  <c r="X218" i="3"/>
  <c r="O218" i="3"/>
  <c r="M218" i="3"/>
  <c r="K218" i="3"/>
  <c r="CT217" i="3"/>
  <c r="CR217" i="3"/>
  <c r="CN217" i="3"/>
  <c r="AO217" i="3"/>
  <c r="AI217" i="3"/>
  <c r="AG217" i="3"/>
  <c r="AB217" i="3"/>
  <c r="Z217" i="3"/>
  <c r="X217" i="3"/>
  <c r="O217" i="3"/>
  <c r="M217" i="3"/>
  <c r="K217" i="3"/>
  <c r="CT216" i="3"/>
  <c r="CR216" i="3"/>
  <c r="CN216" i="3"/>
  <c r="AO216" i="3"/>
  <c r="AI216" i="3"/>
  <c r="AG216" i="3"/>
  <c r="AB216" i="3"/>
  <c r="Z216" i="3"/>
  <c r="X216" i="3"/>
  <c r="O216" i="3"/>
  <c r="M216" i="3"/>
  <c r="K216" i="3"/>
  <c r="CT215" i="3"/>
  <c r="CR215" i="3"/>
  <c r="CN215" i="3"/>
  <c r="AO215" i="3"/>
  <c r="AI215" i="3"/>
  <c r="AG215" i="3"/>
  <c r="AB215" i="3"/>
  <c r="Z215" i="3"/>
  <c r="X215" i="3"/>
  <c r="O215" i="3"/>
  <c r="M215" i="3"/>
  <c r="K215" i="3"/>
  <c r="CT214" i="3"/>
  <c r="CR214" i="3"/>
  <c r="CN214" i="3"/>
  <c r="AO214" i="3"/>
  <c r="AI214" i="3"/>
  <c r="AG214" i="3"/>
  <c r="AB214" i="3"/>
  <c r="Z214" i="3"/>
  <c r="X214" i="3"/>
  <c r="O214" i="3"/>
  <c r="M214" i="3"/>
  <c r="K214" i="3"/>
  <c r="CT213" i="3"/>
  <c r="CR213" i="3"/>
  <c r="CN213" i="3"/>
  <c r="AO213" i="3"/>
  <c r="AI213" i="3"/>
  <c r="AG213" i="3"/>
  <c r="AB213" i="3"/>
  <c r="Z213" i="3"/>
  <c r="X213" i="3"/>
  <c r="O213" i="3"/>
  <c r="M213" i="3"/>
  <c r="K213" i="3"/>
  <c r="CT212" i="3"/>
  <c r="CR212" i="3"/>
  <c r="CN212" i="3"/>
  <c r="AO212" i="3"/>
  <c r="AI212" i="3"/>
  <c r="AG212" i="3"/>
  <c r="AB212" i="3"/>
  <c r="Z212" i="3"/>
  <c r="X212" i="3"/>
  <c r="O212" i="3"/>
  <c r="M212" i="3"/>
  <c r="K212" i="3"/>
  <c r="CT211" i="3"/>
  <c r="CR211" i="3"/>
  <c r="CN211" i="3"/>
  <c r="AO211" i="3"/>
  <c r="AI211" i="3"/>
  <c r="AG211" i="3"/>
  <c r="AB211" i="3"/>
  <c r="Z211" i="3"/>
  <c r="X211" i="3"/>
  <c r="O211" i="3"/>
  <c r="M211" i="3"/>
  <c r="K211" i="3"/>
  <c r="CT210" i="3"/>
  <c r="CR210" i="3"/>
  <c r="CN210" i="3"/>
  <c r="AO210" i="3"/>
  <c r="AI210" i="3"/>
  <c r="AG210" i="3"/>
  <c r="AB210" i="3"/>
  <c r="Z210" i="3"/>
  <c r="X210" i="3"/>
  <c r="O210" i="3"/>
  <c r="M210" i="3"/>
  <c r="K210" i="3"/>
  <c r="CT209" i="3"/>
  <c r="CR209" i="3"/>
  <c r="CN209" i="3"/>
  <c r="AO209" i="3"/>
  <c r="AI209" i="3"/>
  <c r="AG209" i="3"/>
  <c r="AB209" i="3"/>
  <c r="Z209" i="3"/>
  <c r="X209" i="3"/>
  <c r="O209" i="3"/>
  <c r="M209" i="3"/>
  <c r="K209" i="3"/>
  <c r="CT208" i="3"/>
  <c r="CR208" i="3"/>
  <c r="CN208" i="3"/>
  <c r="AO208" i="3"/>
  <c r="AI208" i="3"/>
  <c r="AG208" i="3"/>
  <c r="AB208" i="3"/>
  <c r="Z208" i="3"/>
  <c r="X208" i="3"/>
  <c r="O208" i="3"/>
  <c r="M208" i="3"/>
  <c r="K208" i="3"/>
  <c r="CT207" i="3"/>
  <c r="CR207" i="3"/>
  <c r="CN207" i="3"/>
  <c r="AO207" i="3"/>
  <c r="AI207" i="3"/>
  <c r="AG207" i="3"/>
  <c r="AB207" i="3"/>
  <c r="Z207" i="3"/>
  <c r="X207" i="3"/>
  <c r="O207" i="3"/>
  <c r="M207" i="3"/>
  <c r="K207" i="3"/>
  <c r="CT206" i="3"/>
  <c r="CR206" i="3"/>
  <c r="CN206" i="3"/>
  <c r="AO206" i="3"/>
  <c r="AI206" i="3"/>
  <c r="AG206" i="3"/>
  <c r="AB206" i="3"/>
  <c r="Z206" i="3"/>
  <c r="X206" i="3"/>
  <c r="O206" i="3"/>
  <c r="M206" i="3"/>
  <c r="K206" i="3"/>
  <c r="CT205" i="3"/>
  <c r="CR205" i="3"/>
  <c r="CN205" i="3"/>
  <c r="AO205" i="3"/>
  <c r="AI205" i="3"/>
  <c r="AG205" i="3"/>
  <c r="AB205" i="3"/>
  <c r="Z205" i="3"/>
  <c r="X205" i="3"/>
  <c r="O205" i="3"/>
  <c r="M205" i="3"/>
  <c r="K205" i="3"/>
  <c r="CT204" i="3"/>
  <c r="CR204" i="3"/>
  <c r="CN204" i="3"/>
  <c r="AO204" i="3"/>
  <c r="AI204" i="3"/>
  <c r="AG204" i="3"/>
  <c r="AB204" i="3"/>
  <c r="Z204" i="3"/>
  <c r="X204" i="3"/>
  <c r="O204" i="3"/>
  <c r="M204" i="3"/>
  <c r="K204" i="3"/>
  <c r="CT203" i="3"/>
  <c r="CR203" i="3"/>
  <c r="CN203" i="3"/>
  <c r="AO203" i="3"/>
  <c r="AI203" i="3"/>
  <c r="AG203" i="3"/>
  <c r="AB203" i="3"/>
  <c r="Z203" i="3"/>
  <c r="X203" i="3"/>
  <c r="O203" i="3"/>
  <c r="M203" i="3"/>
  <c r="K203" i="3"/>
  <c r="CT202" i="3"/>
  <c r="CR202" i="3"/>
  <c r="CN202" i="3"/>
  <c r="AO202" i="3"/>
  <c r="AI202" i="3"/>
  <c r="AG202" i="3"/>
  <c r="AB202" i="3"/>
  <c r="Z202" i="3"/>
  <c r="X202" i="3"/>
  <c r="O202" i="3"/>
  <c r="M202" i="3"/>
  <c r="K202" i="3"/>
  <c r="CT201" i="3"/>
  <c r="CR201" i="3"/>
  <c r="CN201" i="3"/>
  <c r="AO201" i="3"/>
  <c r="AI201" i="3"/>
  <c r="AG201" i="3"/>
  <c r="AB201" i="3"/>
  <c r="Z201" i="3"/>
  <c r="X201" i="3"/>
  <c r="O201" i="3"/>
  <c r="M201" i="3"/>
  <c r="K201" i="3"/>
  <c r="CT200" i="3"/>
  <c r="CR200" i="3"/>
  <c r="CN200" i="3"/>
  <c r="AO200" i="3"/>
  <c r="AI200" i="3"/>
  <c r="AG200" i="3"/>
  <c r="AB200" i="3"/>
  <c r="Z200" i="3"/>
  <c r="X200" i="3"/>
  <c r="O200" i="3"/>
  <c r="M200" i="3"/>
  <c r="K200" i="3"/>
  <c r="CT199" i="3"/>
  <c r="CR199" i="3"/>
  <c r="CN199" i="3"/>
  <c r="AO199" i="3"/>
  <c r="AI199" i="3"/>
  <c r="AG199" i="3"/>
  <c r="AB199" i="3"/>
  <c r="Z199" i="3"/>
  <c r="X199" i="3"/>
  <c r="O199" i="3"/>
  <c r="M199" i="3"/>
  <c r="K199" i="3"/>
  <c r="CT198" i="3"/>
  <c r="CR198" i="3"/>
  <c r="CN198" i="3"/>
  <c r="AO198" i="3"/>
  <c r="AI198" i="3"/>
  <c r="AG198" i="3"/>
  <c r="AB198" i="3"/>
  <c r="Z198" i="3"/>
  <c r="X198" i="3"/>
  <c r="O198" i="3"/>
  <c r="M198" i="3"/>
  <c r="K198" i="3"/>
  <c r="CT197" i="3"/>
  <c r="CR197" i="3"/>
  <c r="CN197" i="3"/>
  <c r="AO197" i="3"/>
  <c r="AI197" i="3"/>
  <c r="AG197" i="3"/>
  <c r="AB197" i="3"/>
  <c r="Z197" i="3"/>
  <c r="X197" i="3"/>
  <c r="O197" i="3"/>
  <c r="M197" i="3"/>
  <c r="K197" i="3"/>
  <c r="CT196" i="3"/>
  <c r="CR196" i="3"/>
  <c r="CN196" i="3"/>
  <c r="AO196" i="3"/>
  <c r="AI196" i="3"/>
  <c r="AG196" i="3"/>
  <c r="AB196" i="3"/>
  <c r="Z196" i="3"/>
  <c r="X196" i="3"/>
  <c r="O196" i="3"/>
  <c r="M196" i="3"/>
  <c r="K196" i="3"/>
  <c r="CT195" i="3"/>
  <c r="CR195" i="3"/>
  <c r="CN195" i="3"/>
  <c r="AO195" i="3"/>
  <c r="AI195" i="3"/>
  <c r="AG195" i="3"/>
  <c r="AB195" i="3"/>
  <c r="Z195" i="3"/>
  <c r="X195" i="3"/>
  <c r="O195" i="3"/>
  <c r="M195" i="3"/>
  <c r="K195" i="3"/>
  <c r="CT194" i="3"/>
  <c r="CR194" i="3"/>
  <c r="CN194" i="3"/>
  <c r="AO194" i="3"/>
  <c r="AI194" i="3"/>
  <c r="AG194" i="3"/>
  <c r="AB194" i="3"/>
  <c r="Z194" i="3"/>
  <c r="X194" i="3"/>
  <c r="O194" i="3"/>
  <c r="M194" i="3"/>
  <c r="K194" i="3"/>
  <c r="CT193" i="3"/>
  <c r="CR193" i="3"/>
  <c r="CN193" i="3"/>
  <c r="AO193" i="3"/>
  <c r="AI193" i="3"/>
  <c r="AG193" i="3"/>
  <c r="AB193" i="3"/>
  <c r="Z193" i="3"/>
  <c r="X193" i="3"/>
  <c r="O193" i="3"/>
  <c r="M193" i="3"/>
  <c r="K193" i="3"/>
  <c r="CT192" i="3"/>
  <c r="CR192" i="3"/>
  <c r="CN192" i="3"/>
  <c r="AO192" i="3"/>
  <c r="AI192" i="3"/>
  <c r="AG192" i="3"/>
  <c r="AB192" i="3"/>
  <c r="Z192" i="3"/>
  <c r="X192" i="3"/>
  <c r="O192" i="3"/>
  <c r="M192" i="3"/>
  <c r="K192" i="3"/>
  <c r="CT191" i="3"/>
  <c r="CR191" i="3"/>
  <c r="CN191" i="3"/>
  <c r="AO191" i="3"/>
  <c r="AI191" i="3"/>
  <c r="AG191" i="3"/>
  <c r="AB191" i="3"/>
  <c r="Z191" i="3"/>
  <c r="X191" i="3"/>
  <c r="O191" i="3"/>
  <c r="M191" i="3"/>
  <c r="K191" i="3"/>
  <c r="CT190" i="3"/>
  <c r="CR190" i="3"/>
  <c r="CN190" i="3"/>
  <c r="AO190" i="3"/>
  <c r="AI190" i="3"/>
  <c r="AG190" i="3"/>
  <c r="AB190" i="3"/>
  <c r="Z190" i="3"/>
  <c r="X190" i="3"/>
  <c r="O190" i="3"/>
  <c r="M190" i="3"/>
  <c r="K190" i="3"/>
  <c r="CT189" i="3"/>
  <c r="CR189" i="3"/>
  <c r="CN189" i="3"/>
  <c r="AO189" i="3"/>
  <c r="AI189" i="3"/>
  <c r="AG189" i="3"/>
  <c r="AB189" i="3"/>
  <c r="Z189" i="3"/>
  <c r="X189" i="3"/>
  <c r="O189" i="3"/>
  <c r="M189" i="3"/>
  <c r="K189" i="3"/>
  <c r="CT188" i="3"/>
  <c r="CR188" i="3"/>
  <c r="CN188" i="3"/>
  <c r="AO188" i="3"/>
  <c r="AI188" i="3"/>
  <c r="AG188" i="3"/>
  <c r="AB188" i="3"/>
  <c r="Z188" i="3"/>
  <c r="X188" i="3"/>
  <c r="O188" i="3"/>
  <c r="M188" i="3"/>
  <c r="K188" i="3"/>
  <c r="CT187" i="3"/>
  <c r="CR187" i="3"/>
  <c r="CN187" i="3"/>
  <c r="AO187" i="3"/>
  <c r="AI187" i="3"/>
  <c r="AG187" i="3"/>
  <c r="AB187" i="3"/>
  <c r="Z187" i="3"/>
  <c r="X187" i="3"/>
  <c r="O187" i="3"/>
  <c r="M187" i="3"/>
  <c r="K187" i="3"/>
  <c r="CT186" i="3"/>
  <c r="CR186" i="3"/>
  <c r="CN186" i="3"/>
  <c r="AO186" i="3"/>
  <c r="AI186" i="3"/>
  <c r="AG186" i="3"/>
  <c r="AB186" i="3"/>
  <c r="Z186" i="3"/>
  <c r="X186" i="3"/>
  <c r="O186" i="3"/>
  <c r="M186" i="3"/>
  <c r="K186" i="3"/>
  <c r="CT185" i="3"/>
  <c r="CR185" i="3"/>
  <c r="CN185" i="3"/>
  <c r="AO185" i="3"/>
  <c r="AI185" i="3"/>
  <c r="AG185" i="3"/>
  <c r="AB185" i="3"/>
  <c r="Z185" i="3"/>
  <c r="X185" i="3"/>
  <c r="O185" i="3"/>
  <c r="M185" i="3"/>
  <c r="K185" i="3"/>
  <c r="CT184" i="3"/>
  <c r="CR184" i="3"/>
  <c r="CN184" i="3"/>
  <c r="AO184" i="3"/>
  <c r="AI184" i="3"/>
  <c r="AG184" i="3"/>
  <c r="AB184" i="3"/>
  <c r="Z184" i="3"/>
  <c r="X184" i="3"/>
  <c r="O184" i="3"/>
  <c r="M184" i="3"/>
  <c r="K184" i="3"/>
  <c r="CT183" i="3"/>
  <c r="CR183" i="3"/>
  <c r="CN183" i="3"/>
  <c r="AO183" i="3"/>
  <c r="AI183" i="3"/>
  <c r="AG183" i="3"/>
  <c r="AB183" i="3"/>
  <c r="Z183" i="3"/>
  <c r="X183" i="3"/>
  <c r="O183" i="3"/>
  <c r="M183" i="3"/>
  <c r="K183" i="3"/>
  <c r="CT182" i="3"/>
  <c r="CR182" i="3"/>
  <c r="CN182" i="3"/>
  <c r="AO182" i="3"/>
  <c r="AI182" i="3"/>
  <c r="AG182" i="3"/>
  <c r="AB182" i="3"/>
  <c r="Z182" i="3"/>
  <c r="X182" i="3"/>
  <c r="O182" i="3"/>
  <c r="M182" i="3"/>
  <c r="K182" i="3"/>
  <c r="CT181" i="3"/>
  <c r="CR181" i="3"/>
  <c r="CN181" i="3"/>
  <c r="AO181" i="3"/>
  <c r="AI181" i="3"/>
  <c r="AG181" i="3"/>
  <c r="AB181" i="3"/>
  <c r="Z181" i="3"/>
  <c r="X181" i="3"/>
  <c r="O181" i="3"/>
  <c r="M181" i="3"/>
  <c r="K181" i="3"/>
  <c r="CT180" i="3"/>
  <c r="CR180" i="3"/>
  <c r="CN180" i="3"/>
  <c r="AO180" i="3"/>
  <c r="AI180" i="3"/>
  <c r="AG180" i="3"/>
  <c r="AB180" i="3"/>
  <c r="Z180" i="3"/>
  <c r="X180" i="3"/>
  <c r="O180" i="3"/>
  <c r="M180" i="3"/>
  <c r="K180" i="3"/>
  <c r="CT179" i="3"/>
  <c r="CR179" i="3"/>
  <c r="CN179" i="3"/>
  <c r="AO179" i="3"/>
  <c r="AI179" i="3"/>
  <c r="AG179" i="3"/>
  <c r="AB179" i="3"/>
  <c r="Z179" i="3"/>
  <c r="X179" i="3"/>
  <c r="O179" i="3"/>
  <c r="M179" i="3"/>
  <c r="K179" i="3"/>
  <c r="CT178" i="3"/>
  <c r="CR178" i="3"/>
  <c r="CN178" i="3"/>
  <c r="AO178" i="3"/>
  <c r="AI178" i="3"/>
  <c r="AG178" i="3"/>
  <c r="AB178" i="3"/>
  <c r="Z178" i="3"/>
  <c r="X178" i="3"/>
  <c r="O178" i="3"/>
  <c r="M178" i="3"/>
  <c r="K178" i="3"/>
  <c r="CT177" i="3"/>
  <c r="CR177" i="3"/>
  <c r="CN177" i="3"/>
  <c r="AO177" i="3"/>
  <c r="AI177" i="3"/>
  <c r="AG177" i="3"/>
  <c r="AB177" i="3"/>
  <c r="Z177" i="3"/>
  <c r="X177" i="3"/>
  <c r="O177" i="3"/>
  <c r="M177" i="3"/>
  <c r="K177" i="3"/>
  <c r="CT176" i="3"/>
  <c r="CR176" i="3"/>
  <c r="CN176" i="3"/>
  <c r="AO176" i="3"/>
  <c r="AI176" i="3"/>
  <c r="AG176" i="3"/>
  <c r="AB176" i="3"/>
  <c r="Z176" i="3"/>
  <c r="X176" i="3"/>
  <c r="O176" i="3"/>
  <c r="M176" i="3"/>
  <c r="K176" i="3"/>
  <c r="CT175" i="3"/>
  <c r="CR175" i="3"/>
  <c r="CN175" i="3"/>
  <c r="AO175" i="3"/>
  <c r="AI175" i="3"/>
  <c r="AG175" i="3"/>
  <c r="AB175" i="3"/>
  <c r="Z175" i="3"/>
  <c r="X175" i="3"/>
  <c r="O175" i="3"/>
  <c r="M175" i="3"/>
  <c r="K175" i="3"/>
  <c r="CT174" i="3"/>
  <c r="CR174" i="3"/>
  <c r="CN174" i="3"/>
  <c r="AO174" i="3"/>
  <c r="AI174" i="3"/>
  <c r="AG174" i="3"/>
  <c r="AB174" i="3"/>
  <c r="Z174" i="3"/>
  <c r="X174" i="3"/>
  <c r="O174" i="3"/>
  <c r="M174" i="3"/>
  <c r="K174" i="3"/>
  <c r="CT173" i="3"/>
  <c r="CR173" i="3"/>
  <c r="CN173" i="3"/>
  <c r="AO173" i="3"/>
  <c r="AI173" i="3"/>
  <c r="AG173" i="3"/>
  <c r="AB173" i="3"/>
  <c r="Z173" i="3"/>
  <c r="X173" i="3"/>
  <c r="O173" i="3"/>
  <c r="M173" i="3"/>
  <c r="K173" i="3"/>
  <c r="CT172" i="3"/>
  <c r="CR172" i="3"/>
  <c r="CN172" i="3"/>
  <c r="AO172" i="3"/>
  <c r="AI172" i="3"/>
  <c r="AG172" i="3"/>
  <c r="AB172" i="3"/>
  <c r="Z172" i="3"/>
  <c r="X172" i="3"/>
  <c r="O172" i="3"/>
  <c r="M172" i="3"/>
  <c r="K172" i="3"/>
  <c r="CT171" i="3"/>
  <c r="CR171" i="3"/>
  <c r="CN171" i="3"/>
  <c r="AO171" i="3"/>
  <c r="AI171" i="3"/>
  <c r="AG171" i="3"/>
  <c r="AB171" i="3"/>
  <c r="Z171" i="3"/>
  <c r="X171" i="3"/>
  <c r="O171" i="3"/>
  <c r="M171" i="3"/>
  <c r="K171" i="3"/>
  <c r="CT170" i="3"/>
  <c r="CR170" i="3"/>
  <c r="CN170" i="3"/>
  <c r="AO170" i="3"/>
  <c r="AI170" i="3"/>
  <c r="AG170" i="3"/>
  <c r="AB170" i="3"/>
  <c r="Z170" i="3"/>
  <c r="X170" i="3"/>
  <c r="O170" i="3"/>
  <c r="M170" i="3"/>
  <c r="K170" i="3"/>
  <c r="CT169" i="3"/>
  <c r="CR169" i="3"/>
  <c r="CN169" i="3"/>
  <c r="AO169" i="3"/>
  <c r="AI169" i="3"/>
  <c r="AG169" i="3"/>
  <c r="AB169" i="3"/>
  <c r="Z169" i="3"/>
  <c r="X169" i="3"/>
  <c r="O169" i="3"/>
  <c r="M169" i="3"/>
  <c r="K169" i="3"/>
  <c r="CT168" i="3"/>
  <c r="CR168" i="3"/>
  <c r="CN168" i="3"/>
  <c r="AO168" i="3"/>
  <c r="AI168" i="3"/>
  <c r="AG168" i="3"/>
  <c r="AB168" i="3"/>
  <c r="Z168" i="3"/>
  <c r="X168" i="3"/>
  <c r="O168" i="3"/>
  <c r="M168" i="3"/>
  <c r="K168" i="3"/>
  <c r="CT167" i="3"/>
  <c r="CR167" i="3"/>
  <c r="CN167" i="3"/>
  <c r="AO167" i="3"/>
  <c r="AI167" i="3"/>
  <c r="AG167" i="3"/>
  <c r="AB167" i="3"/>
  <c r="Z167" i="3"/>
  <c r="X167" i="3"/>
  <c r="O167" i="3"/>
  <c r="M167" i="3"/>
  <c r="K167" i="3"/>
  <c r="CT166" i="3"/>
  <c r="CR166" i="3"/>
  <c r="CN166" i="3"/>
  <c r="AO166" i="3"/>
  <c r="AI166" i="3"/>
  <c r="AG166" i="3"/>
  <c r="AB166" i="3"/>
  <c r="Z166" i="3"/>
  <c r="X166" i="3"/>
  <c r="O166" i="3"/>
  <c r="M166" i="3"/>
  <c r="K166" i="3"/>
  <c r="CT165" i="3"/>
  <c r="CR165" i="3"/>
  <c r="CN165" i="3"/>
  <c r="AO165" i="3"/>
  <c r="AI165" i="3"/>
  <c r="AG165" i="3"/>
  <c r="AB165" i="3"/>
  <c r="Z165" i="3"/>
  <c r="X165" i="3"/>
  <c r="O165" i="3"/>
  <c r="M165" i="3"/>
  <c r="K165" i="3"/>
  <c r="CT164" i="3"/>
  <c r="CR164" i="3"/>
  <c r="CN164" i="3"/>
  <c r="AO164" i="3"/>
  <c r="AI164" i="3"/>
  <c r="AG164" i="3"/>
  <c r="AB164" i="3"/>
  <c r="Z164" i="3"/>
  <c r="X164" i="3"/>
  <c r="O164" i="3"/>
  <c r="M164" i="3"/>
  <c r="K164" i="3"/>
  <c r="CT163" i="3"/>
  <c r="CR163" i="3"/>
  <c r="CN163" i="3"/>
  <c r="AO163" i="3"/>
  <c r="AI163" i="3"/>
  <c r="AG163" i="3"/>
  <c r="AB163" i="3"/>
  <c r="Z163" i="3"/>
  <c r="X163" i="3"/>
  <c r="O163" i="3"/>
  <c r="M163" i="3"/>
  <c r="K163" i="3"/>
  <c r="CT162" i="3"/>
  <c r="CR162" i="3"/>
  <c r="CN162" i="3"/>
  <c r="AO162" i="3"/>
  <c r="AI162" i="3"/>
  <c r="AG162" i="3"/>
  <c r="AB162" i="3"/>
  <c r="Z162" i="3"/>
  <c r="X162" i="3"/>
  <c r="O162" i="3"/>
  <c r="M162" i="3"/>
  <c r="K162" i="3"/>
  <c r="CT161" i="3"/>
  <c r="CR161" i="3"/>
  <c r="CN161" i="3"/>
  <c r="AO161" i="3"/>
  <c r="AI161" i="3"/>
  <c r="AG161" i="3"/>
  <c r="AB161" i="3"/>
  <c r="Z161" i="3"/>
  <c r="X161" i="3"/>
  <c r="O161" i="3"/>
  <c r="M161" i="3"/>
  <c r="K161" i="3"/>
  <c r="CT160" i="3"/>
  <c r="CR160" i="3"/>
  <c r="CN160" i="3"/>
  <c r="AO160" i="3"/>
  <c r="AI160" i="3"/>
  <c r="AG160" i="3"/>
  <c r="AB160" i="3"/>
  <c r="Z160" i="3"/>
  <c r="X160" i="3"/>
  <c r="O160" i="3"/>
  <c r="M160" i="3"/>
  <c r="K160" i="3"/>
  <c r="CT159" i="3"/>
  <c r="CR159" i="3"/>
  <c r="CN159" i="3"/>
  <c r="AO159" i="3"/>
  <c r="AI159" i="3"/>
  <c r="AG159" i="3"/>
  <c r="AB159" i="3"/>
  <c r="Z159" i="3"/>
  <c r="X159" i="3"/>
  <c r="O159" i="3"/>
  <c r="M159" i="3"/>
  <c r="K159" i="3"/>
  <c r="CT158" i="3"/>
  <c r="CR158" i="3"/>
  <c r="CN158" i="3"/>
  <c r="AO158" i="3"/>
  <c r="AI158" i="3"/>
  <c r="AG158" i="3"/>
  <c r="AB158" i="3"/>
  <c r="Z158" i="3"/>
  <c r="X158" i="3"/>
  <c r="O158" i="3"/>
  <c r="M158" i="3"/>
  <c r="K158" i="3"/>
  <c r="CT157" i="3"/>
  <c r="CR157" i="3"/>
  <c r="CN157" i="3"/>
  <c r="AO157" i="3"/>
  <c r="AI157" i="3"/>
  <c r="AG157" i="3"/>
  <c r="AB157" i="3"/>
  <c r="Z157" i="3"/>
  <c r="X157" i="3"/>
  <c r="O157" i="3"/>
  <c r="M157" i="3"/>
  <c r="K157" i="3"/>
  <c r="CT156" i="3"/>
  <c r="CR156" i="3"/>
  <c r="CN156" i="3"/>
  <c r="AO156" i="3"/>
  <c r="AI156" i="3"/>
  <c r="AG156" i="3"/>
  <c r="AB156" i="3"/>
  <c r="Z156" i="3"/>
  <c r="X156" i="3"/>
  <c r="O156" i="3"/>
  <c r="M156" i="3"/>
  <c r="K156" i="3"/>
  <c r="CT155" i="3"/>
  <c r="CR155" i="3"/>
  <c r="CN155" i="3"/>
  <c r="AO155" i="3"/>
  <c r="AI155" i="3"/>
  <c r="AG155" i="3"/>
  <c r="AB155" i="3"/>
  <c r="Z155" i="3"/>
  <c r="X155" i="3"/>
  <c r="O155" i="3"/>
  <c r="M155" i="3"/>
  <c r="K155" i="3"/>
  <c r="CT154" i="3"/>
  <c r="CR154" i="3"/>
  <c r="CN154" i="3"/>
  <c r="AO154" i="3"/>
  <c r="AI154" i="3"/>
  <c r="AG154" i="3"/>
  <c r="AB154" i="3"/>
  <c r="Z154" i="3"/>
  <c r="X154" i="3"/>
  <c r="O154" i="3"/>
  <c r="M154" i="3"/>
  <c r="K154" i="3"/>
  <c r="CT153" i="3"/>
  <c r="CR153" i="3"/>
  <c r="CN153" i="3"/>
  <c r="AO153" i="3"/>
  <c r="AI153" i="3"/>
  <c r="AG153" i="3"/>
  <c r="AB153" i="3"/>
  <c r="Z153" i="3"/>
  <c r="X153" i="3"/>
  <c r="O153" i="3"/>
  <c r="M153" i="3"/>
  <c r="K153" i="3"/>
  <c r="CT152" i="3"/>
  <c r="CR152" i="3"/>
  <c r="CN152" i="3"/>
  <c r="AO152" i="3"/>
  <c r="AI152" i="3"/>
  <c r="AG152" i="3"/>
  <c r="AB152" i="3"/>
  <c r="Z152" i="3"/>
  <c r="X152" i="3"/>
  <c r="O152" i="3"/>
  <c r="M152" i="3"/>
  <c r="K152" i="3"/>
  <c r="CT151" i="3"/>
  <c r="CR151" i="3"/>
  <c r="CN151" i="3"/>
  <c r="AO151" i="3"/>
  <c r="AI151" i="3"/>
  <c r="AG151" i="3"/>
  <c r="AB151" i="3"/>
  <c r="Z151" i="3"/>
  <c r="X151" i="3"/>
  <c r="O151" i="3"/>
  <c r="M151" i="3"/>
  <c r="K151" i="3"/>
  <c r="CT150" i="3"/>
  <c r="CR150" i="3"/>
  <c r="CN150" i="3"/>
  <c r="AO150" i="3"/>
  <c r="AI150" i="3"/>
  <c r="AG150" i="3"/>
  <c r="AB150" i="3"/>
  <c r="Z150" i="3"/>
  <c r="X150" i="3"/>
  <c r="O150" i="3"/>
  <c r="M150" i="3"/>
  <c r="K150" i="3"/>
  <c r="CT149" i="3"/>
  <c r="CR149" i="3"/>
  <c r="CN149" i="3"/>
  <c r="AO149" i="3"/>
  <c r="AI149" i="3"/>
  <c r="AG149" i="3"/>
  <c r="AB149" i="3"/>
  <c r="Z149" i="3"/>
  <c r="X149" i="3"/>
  <c r="O149" i="3"/>
  <c r="M149" i="3"/>
  <c r="K149" i="3"/>
  <c r="CT148" i="3"/>
  <c r="CR148" i="3"/>
  <c r="CN148" i="3"/>
  <c r="AO148" i="3"/>
  <c r="AI148" i="3"/>
  <c r="AG148" i="3"/>
  <c r="AB148" i="3"/>
  <c r="Z148" i="3"/>
  <c r="X148" i="3"/>
  <c r="O148" i="3"/>
  <c r="M148" i="3"/>
  <c r="K148" i="3"/>
  <c r="CT147" i="3"/>
  <c r="CR147" i="3"/>
  <c r="CN147" i="3"/>
  <c r="AO147" i="3"/>
  <c r="AI147" i="3"/>
  <c r="AG147" i="3"/>
  <c r="AB147" i="3"/>
  <c r="Z147" i="3"/>
  <c r="X147" i="3"/>
  <c r="O147" i="3"/>
  <c r="M147" i="3"/>
  <c r="K147" i="3"/>
  <c r="CT146" i="3"/>
  <c r="CR146" i="3"/>
  <c r="CN146" i="3"/>
  <c r="AO146" i="3"/>
  <c r="AI146" i="3"/>
  <c r="AG146" i="3"/>
  <c r="AB146" i="3"/>
  <c r="Z146" i="3"/>
  <c r="X146" i="3"/>
  <c r="O146" i="3"/>
  <c r="M146" i="3"/>
  <c r="K146" i="3"/>
  <c r="CT145" i="3"/>
  <c r="CR145" i="3"/>
  <c r="CN145" i="3"/>
  <c r="AO145" i="3"/>
  <c r="AI145" i="3"/>
  <c r="AG145" i="3"/>
  <c r="AB145" i="3"/>
  <c r="Z145" i="3"/>
  <c r="X145" i="3"/>
  <c r="O145" i="3"/>
  <c r="M145" i="3"/>
  <c r="K145" i="3"/>
  <c r="CT144" i="3"/>
  <c r="CR144" i="3"/>
  <c r="CN144" i="3"/>
  <c r="AO144" i="3"/>
  <c r="AI144" i="3"/>
  <c r="AG144" i="3"/>
  <c r="AB144" i="3"/>
  <c r="Z144" i="3"/>
  <c r="X144" i="3"/>
  <c r="O144" i="3"/>
  <c r="M144" i="3"/>
  <c r="K144" i="3"/>
  <c r="CT143" i="3"/>
  <c r="CR143" i="3"/>
  <c r="CN143" i="3"/>
  <c r="AO143" i="3"/>
  <c r="AI143" i="3"/>
  <c r="AG143" i="3"/>
  <c r="AB143" i="3"/>
  <c r="Z143" i="3"/>
  <c r="X143" i="3"/>
  <c r="O143" i="3"/>
  <c r="M143" i="3"/>
  <c r="K143" i="3"/>
  <c r="CT142" i="3"/>
  <c r="CR142" i="3"/>
  <c r="CN142" i="3"/>
  <c r="AO142" i="3"/>
  <c r="AI142" i="3"/>
  <c r="AG142" i="3"/>
  <c r="AB142" i="3"/>
  <c r="Z142" i="3"/>
  <c r="X142" i="3"/>
  <c r="O142" i="3"/>
  <c r="M142" i="3"/>
  <c r="K142" i="3"/>
  <c r="CT141" i="3"/>
  <c r="CR141" i="3"/>
  <c r="CN141" i="3"/>
  <c r="AO141" i="3"/>
  <c r="AI141" i="3"/>
  <c r="AG141" i="3"/>
  <c r="AB141" i="3"/>
  <c r="Z141" i="3"/>
  <c r="X141" i="3"/>
  <c r="O141" i="3"/>
  <c r="M141" i="3"/>
  <c r="K141" i="3"/>
  <c r="CT140" i="3"/>
  <c r="CR140" i="3"/>
  <c r="CN140" i="3"/>
  <c r="AO140" i="3"/>
  <c r="AI140" i="3"/>
  <c r="AG140" i="3"/>
  <c r="AB140" i="3"/>
  <c r="Z140" i="3"/>
  <c r="X140" i="3"/>
  <c r="O140" i="3"/>
  <c r="M140" i="3"/>
  <c r="K140" i="3"/>
  <c r="CT139" i="3"/>
  <c r="CR139" i="3"/>
  <c r="CN139" i="3"/>
  <c r="AO139" i="3"/>
  <c r="AI139" i="3"/>
  <c r="AG139" i="3"/>
  <c r="AB139" i="3"/>
  <c r="Z139" i="3"/>
  <c r="X139" i="3"/>
  <c r="O139" i="3"/>
  <c r="M139" i="3"/>
  <c r="K139" i="3"/>
  <c r="CT138" i="3"/>
  <c r="CR138" i="3"/>
  <c r="CN138" i="3"/>
  <c r="AO138" i="3"/>
  <c r="AI138" i="3"/>
  <c r="AG138" i="3"/>
  <c r="AB138" i="3"/>
  <c r="Z138" i="3"/>
  <c r="X138" i="3"/>
  <c r="O138" i="3"/>
  <c r="M138" i="3"/>
  <c r="K138" i="3"/>
  <c r="CT137" i="3"/>
  <c r="CR137" i="3"/>
  <c r="CN137" i="3"/>
  <c r="AO137" i="3"/>
  <c r="AI137" i="3"/>
  <c r="AG137" i="3"/>
  <c r="AB137" i="3"/>
  <c r="Z137" i="3"/>
  <c r="X137" i="3"/>
  <c r="O137" i="3"/>
  <c r="M137" i="3"/>
  <c r="K137" i="3"/>
  <c r="CT136" i="3"/>
  <c r="CR136" i="3"/>
  <c r="CN136" i="3"/>
  <c r="AO136" i="3"/>
  <c r="AI136" i="3"/>
  <c r="AG136" i="3"/>
  <c r="AB136" i="3"/>
  <c r="Z136" i="3"/>
  <c r="X136" i="3"/>
  <c r="O136" i="3"/>
  <c r="M136" i="3"/>
  <c r="K136" i="3"/>
  <c r="CT135" i="3"/>
  <c r="CR135" i="3"/>
  <c r="CN135" i="3"/>
  <c r="AO135" i="3"/>
  <c r="AI135" i="3"/>
  <c r="AG135" i="3"/>
  <c r="AB135" i="3"/>
  <c r="Z135" i="3"/>
  <c r="X135" i="3"/>
  <c r="O135" i="3"/>
  <c r="M135" i="3"/>
  <c r="K135" i="3"/>
  <c r="CT134" i="3"/>
  <c r="CR134" i="3"/>
  <c r="CN134" i="3"/>
  <c r="AO134" i="3"/>
  <c r="AI134" i="3"/>
  <c r="AG134" i="3"/>
  <c r="AB134" i="3"/>
  <c r="Z134" i="3"/>
  <c r="X134" i="3"/>
  <c r="O134" i="3"/>
  <c r="M134" i="3"/>
  <c r="K134" i="3"/>
  <c r="CT133" i="3"/>
  <c r="CR133" i="3"/>
  <c r="CN133" i="3"/>
  <c r="AO133" i="3"/>
  <c r="AI133" i="3"/>
  <c r="AG133" i="3"/>
  <c r="AB133" i="3"/>
  <c r="Z133" i="3"/>
  <c r="X133" i="3"/>
  <c r="O133" i="3"/>
  <c r="M133" i="3"/>
  <c r="K133" i="3"/>
  <c r="CT132" i="3"/>
  <c r="CR132" i="3"/>
  <c r="CN132" i="3"/>
  <c r="AO132" i="3"/>
  <c r="AI132" i="3"/>
  <c r="AG132" i="3"/>
  <c r="AB132" i="3"/>
  <c r="Z132" i="3"/>
  <c r="X132" i="3"/>
  <c r="O132" i="3"/>
  <c r="M132" i="3"/>
  <c r="K132" i="3"/>
  <c r="CT131" i="3"/>
  <c r="CR131" i="3"/>
  <c r="CN131" i="3"/>
  <c r="AO131" i="3"/>
  <c r="AI131" i="3"/>
  <c r="AG131" i="3"/>
  <c r="AB131" i="3"/>
  <c r="Z131" i="3"/>
  <c r="X131" i="3"/>
  <c r="O131" i="3"/>
  <c r="M131" i="3"/>
  <c r="K131" i="3"/>
  <c r="CT130" i="3"/>
  <c r="CR130" i="3"/>
  <c r="CN130" i="3"/>
  <c r="AO130" i="3"/>
  <c r="AI130" i="3"/>
  <c r="AG130" i="3"/>
  <c r="AB130" i="3"/>
  <c r="Z130" i="3"/>
  <c r="X130" i="3"/>
  <c r="O130" i="3"/>
  <c r="M130" i="3"/>
  <c r="K130" i="3"/>
  <c r="CT129" i="3"/>
  <c r="CR129" i="3"/>
  <c r="CN129" i="3"/>
  <c r="AO129" i="3"/>
  <c r="AI129" i="3"/>
  <c r="AG129" i="3"/>
  <c r="AB129" i="3"/>
  <c r="Z129" i="3"/>
  <c r="X129" i="3"/>
  <c r="O129" i="3"/>
  <c r="M129" i="3"/>
  <c r="K129" i="3"/>
  <c r="CT128" i="3"/>
  <c r="CR128" i="3"/>
  <c r="CN128" i="3"/>
  <c r="AO128" i="3"/>
  <c r="AI128" i="3"/>
  <c r="AG128" i="3"/>
  <c r="AB128" i="3"/>
  <c r="Z128" i="3"/>
  <c r="X128" i="3"/>
  <c r="O128" i="3"/>
  <c r="M128" i="3"/>
  <c r="K128" i="3"/>
  <c r="CT127" i="3"/>
  <c r="CR127" i="3"/>
  <c r="CN127" i="3"/>
  <c r="AO127" i="3"/>
  <c r="AI127" i="3"/>
  <c r="AG127" i="3"/>
  <c r="AB127" i="3"/>
  <c r="Z127" i="3"/>
  <c r="X127" i="3"/>
  <c r="O127" i="3"/>
  <c r="M127" i="3"/>
  <c r="K127" i="3"/>
  <c r="CT126" i="3"/>
  <c r="CR126" i="3"/>
  <c r="CN126" i="3"/>
  <c r="AO126" i="3"/>
  <c r="AI126" i="3"/>
  <c r="AG126" i="3"/>
  <c r="AB126" i="3"/>
  <c r="Z126" i="3"/>
  <c r="X126" i="3"/>
  <c r="O126" i="3"/>
  <c r="M126" i="3"/>
  <c r="K126" i="3"/>
  <c r="CT125" i="3"/>
  <c r="CR125" i="3"/>
  <c r="CN125" i="3"/>
  <c r="AO125" i="3"/>
  <c r="AI125" i="3"/>
  <c r="AG125" i="3"/>
  <c r="AB125" i="3"/>
  <c r="Z125" i="3"/>
  <c r="X125" i="3"/>
  <c r="O125" i="3"/>
  <c r="M125" i="3"/>
  <c r="K125" i="3"/>
  <c r="CT124" i="3"/>
  <c r="CR124" i="3"/>
  <c r="CN124" i="3"/>
  <c r="AO124" i="3"/>
  <c r="AI124" i="3"/>
  <c r="AG124" i="3"/>
  <c r="AB124" i="3"/>
  <c r="Z124" i="3"/>
  <c r="X124" i="3"/>
  <c r="O124" i="3"/>
  <c r="M124" i="3"/>
  <c r="K124" i="3"/>
  <c r="CT123" i="3"/>
  <c r="CR123" i="3"/>
  <c r="CN123" i="3"/>
  <c r="AO123" i="3"/>
  <c r="AI123" i="3"/>
  <c r="AG123" i="3"/>
  <c r="AB123" i="3"/>
  <c r="Z123" i="3"/>
  <c r="X123" i="3"/>
  <c r="O123" i="3"/>
  <c r="M123" i="3"/>
  <c r="K123" i="3"/>
  <c r="CT122" i="3"/>
  <c r="CR122" i="3"/>
  <c r="CN122" i="3"/>
  <c r="AO122" i="3"/>
  <c r="AI122" i="3"/>
  <c r="AG122" i="3"/>
  <c r="AB122" i="3"/>
  <c r="Z122" i="3"/>
  <c r="X122" i="3"/>
  <c r="O122" i="3"/>
  <c r="M122" i="3"/>
  <c r="K122" i="3"/>
  <c r="CT121" i="3"/>
  <c r="CR121" i="3"/>
  <c r="CN121" i="3"/>
  <c r="AO121" i="3"/>
  <c r="AI121" i="3"/>
  <c r="AG121" i="3"/>
  <c r="AB121" i="3"/>
  <c r="Z121" i="3"/>
  <c r="X121" i="3"/>
  <c r="O121" i="3"/>
  <c r="M121" i="3"/>
  <c r="K121" i="3"/>
  <c r="CT120" i="3"/>
  <c r="CR120" i="3"/>
  <c r="CN120" i="3"/>
  <c r="AO120" i="3"/>
  <c r="AI120" i="3"/>
  <c r="AG120" i="3"/>
  <c r="AB120" i="3"/>
  <c r="Z120" i="3"/>
  <c r="X120" i="3"/>
  <c r="O120" i="3"/>
  <c r="M120" i="3"/>
  <c r="K120" i="3"/>
  <c r="CT119" i="3"/>
  <c r="CR119" i="3"/>
  <c r="CN119" i="3"/>
  <c r="AO119" i="3"/>
  <c r="AI119" i="3"/>
  <c r="AG119" i="3"/>
  <c r="AB119" i="3"/>
  <c r="Z119" i="3"/>
  <c r="X119" i="3"/>
  <c r="O119" i="3"/>
  <c r="M119" i="3"/>
  <c r="K119" i="3"/>
  <c r="CT118" i="3"/>
  <c r="CR118" i="3"/>
  <c r="CN118" i="3"/>
  <c r="AO118" i="3"/>
  <c r="AI118" i="3"/>
  <c r="AG118" i="3"/>
  <c r="AB118" i="3"/>
  <c r="Z118" i="3"/>
  <c r="X118" i="3"/>
  <c r="O118" i="3"/>
  <c r="M118" i="3"/>
  <c r="K118" i="3"/>
  <c r="CT117" i="3"/>
  <c r="CR117" i="3"/>
  <c r="CN117" i="3"/>
  <c r="AO117" i="3"/>
  <c r="AI117" i="3"/>
  <c r="AG117" i="3"/>
  <c r="AB117" i="3"/>
  <c r="Z117" i="3"/>
  <c r="X117" i="3"/>
  <c r="O117" i="3"/>
  <c r="M117" i="3"/>
  <c r="K117" i="3"/>
  <c r="CT116" i="3"/>
  <c r="CR116" i="3"/>
  <c r="CN116" i="3"/>
  <c r="AO116" i="3"/>
  <c r="AI116" i="3"/>
  <c r="AG116" i="3"/>
  <c r="AB116" i="3"/>
  <c r="Z116" i="3"/>
  <c r="X116" i="3"/>
  <c r="O116" i="3"/>
  <c r="M116" i="3"/>
  <c r="K116" i="3"/>
  <c r="CT115" i="3"/>
  <c r="CR115" i="3"/>
  <c r="CN115" i="3"/>
  <c r="AO115" i="3"/>
  <c r="AI115" i="3"/>
  <c r="AG115" i="3"/>
  <c r="AB115" i="3"/>
  <c r="Z115" i="3"/>
  <c r="X115" i="3"/>
  <c r="O115" i="3"/>
  <c r="M115" i="3"/>
  <c r="K115" i="3"/>
  <c r="CT114" i="3"/>
  <c r="CR114" i="3"/>
  <c r="CN114" i="3"/>
  <c r="AO114" i="3"/>
  <c r="AI114" i="3"/>
  <c r="AG114" i="3"/>
  <c r="AB114" i="3"/>
  <c r="Z114" i="3"/>
  <c r="X114" i="3"/>
  <c r="O114" i="3"/>
  <c r="M114" i="3"/>
  <c r="K114" i="3"/>
  <c r="CT113" i="3"/>
  <c r="CR113" i="3"/>
  <c r="CN113" i="3"/>
  <c r="AO113" i="3"/>
  <c r="AI113" i="3"/>
  <c r="AG113" i="3"/>
  <c r="AB113" i="3"/>
  <c r="Z113" i="3"/>
  <c r="X113" i="3"/>
  <c r="O113" i="3"/>
  <c r="M113" i="3"/>
  <c r="K113" i="3"/>
  <c r="CT112" i="3"/>
  <c r="CR112" i="3"/>
  <c r="CN112" i="3"/>
  <c r="AO112" i="3"/>
  <c r="AI112" i="3"/>
  <c r="AG112" i="3"/>
  <c r="AB112" i="3"/>
  <c r="Z112" i="3"/>
  <c r="X112" i="3"/>
  <c r="O112" i="3"/>
  <c r="M112" i="3"/>
  <c r="K112" i="3"/>
  <c r="CT111" i="3"/>
  <c r="CR111" i="3"/>
  <c r="CN111" i="3"/>
  <c r="AO111" i="3"/>
  <c r="AI111" i="3"/>
  <c r="AG111" i="3"/>
  <c r="AB111" i="3"/>
  <c r="Z111" i="3"/>
  <c r="X111" i="3"/>
  <c r="O111" i="3"/>
  <c r="M111" i="3"/>
  <c r="K111" i="3"/>
  <c r="CT110" i="3"/>
  <c r="CR110" i="3"/>
  <c r="CN110" i="3"/>
  <c r="AO110" i="3"/>
  <c r="AI110" i="3"/>
  <c r="AG110" i="3"/>
  <c r="AB110" i="3"/>
  <c r="Z110" i="3"/>
  <c r="X110" i="3"/>
  <c r="O110" i="3"/>
  <c r="M110" i="3"/>
  <c r="K110" i="3"/>
  <c r="CT109" i="3"/>
  <c r="CR109" i="3"/>
  <c r="CN109" i="3"/>
  <c r="AO109" i="3"/>
  <c r="AI109" i="3"/>
  <c r="AG109" i="3"/>
  <c r="AB109" i="3"/>
  <c r="Z109" i="3"/>
  <c r="X109" i="3"/>
  <c r="O109" i="3"/>
  <c r="M109" i="3"/>
  <c r="K109" i="3"/>
  <c r="CT108" i="3"/>
  <c r="CR108" i="3"/>
  <c r="CN108" i="3"/>
  <c r="AO108" i="3"/>
  <c r="AI108" i="3"/>
  <c r="AG108" i="3"/>
  <c r="AB108" i="3"/>
  <c r="Z108" i="3"/>
  <c r="X108" i="3"/>
  <c r="O108" i="3"/>
  <c r="M108" i="3"/>
  <c r="K108" i="3"/>
  <c r="CT107" i="3"/>
  <c r="CR107" i="3"/>
  <c r="CN107" i="3"/>
  <c r="AO107" i="3"/>
  <c r="AI107" i="3"/>
  <c r="AG107" i="3"/>
  <c r="AB107" i="3"/>
  <c r="Z107" i="3"/>
  <c r="X107" i="3"/>
  <c r="O107" i="3"/>
  <c r="M107" i="3"/>
  <c r="K107" i="3"/>
  <c r="CT106" i="3"/>
  <c r="CR106" i="3"/>
  <c r="CN106" i="3"/>
  <c r="AO106" i="3"/>
  <c r="AI106" i="3"/>
  <c r="AG106" i="3"/>
  <c r="AB106" i="3"/>
  <c r="Z106" i="3"/>
  <c r="X106" i="3"/>
  <c r="O106" i="3"/>
  <c r="M106" i="3"/>
  <c r="K106" i="3"/>
  <c r="CT105" i="3"/>
  <c r="CR105" i="3"/>
  <c r="CN105" i="3"/>
  <c r="AO105" i="3"/>
  <c r="AI105" i="3"/>
  <c r="AG105" i="3"/>
  <c r="AB105" i="3"/>
  <c r="Z105" i="3"/>
  <c r="X105" i="3"/>
  <c r="O105" i="3"/>
  <c r="M105" i="3"/>
  <c r="K105" i="3"/>
  <c r="CT104" i="3"/>
  <c r="CR104" i="3"/>
  <c r="CN104" i="3"/>
  <c r="AO104" i="3"/>
  <c r="AI104" i="3"/>
  <c r="AG104" i="3"/>
  <c r="AB104" i="3"/>
  <c r="Z104" i="3"/>
  <c r="X104" i="3"/>
  <c r="O104" i="3"/>
  <c r="M104" i="3"/>
  <c r="K104" i="3"/>
  <c r="CT103" i="3"/>
  <c r="CR103" i="3"/>
  <c r="CN103" i="3"/>
  <c r="AO103" i="3"/>
  <c r="AI103" i="3"/>
  <c r="AG103" i="3"/>
  <c r="AB103" i="3"/>
  <c r="Z103" i="3"/>
  <c r="X103" i="3"/>
  <c r="O103" i="3"/>
  <c r="M103" i="3"/>
  <c r="K103" i="3"/>
  <c r="CT102" i="3"/>
  <c r="CR102" i="3"/>
  <c r="CN102" i="3"/>
  <c r="AO102" i="3"/>
  <c r="AI102" i="3"/>
  <c r="AG102" i="3"/>
  <c r="AB102" i="3"/>
  <c r="Z102" i="3"/>
  <c r="X102" i="3"/>
  <c r="O102" i="3"/>
  <c r="M102" i="3"/>
  <c r="K102" i="3"/>
  <c r="CT101" i="3"/>
  <c r="CR101" i="3"/>
  <c r="CN101" i="3"/>
  <c r="AO101" i="3"/>
  <c r="AI101" i="3"/>
  <c r="AG101" i="3"/>
  <c r="AB101" i="3"/>
  <c r="Z101" i="3"/>
  <c r="X101" i="3"/>
  <c r="O101" i="3"/>
  <c r="M101" i="3"/>
  <c r="K101" i="3"/>
  <c r="CT100" i="3"/>
  <c r="CR100" i="3"/>
  <c r="CN100" i="3"/>
  <c r="AO100" i="3"/>
  <c r="AI100" i="3"/>
  <c r="AG100" i="3"/>
  <c r="AB100" i="3"/>
  <c r="Z100" i="3"/>
  <c r="X100" i="3"/>
  <c r="O100" i="3"/>
  <c r="M100" i="3"/>
  <c r="K100" i="3"/>
  <c r="CT99" i="3"/>
  <c r="CR99" i="3"/>
  <c r="CN99" i="3"/>
  <c r="AO99" i="3"/>
  <c r="AI99" i="3"/>
  <c r="AG99" i="3"/>
  <c r="AB99" i="3"/>
  <c r="Z99" i="3"/>
  <c r="X99" i="3"/>
  <c r="O99" i="3"/>
  <c r="M99" i="3"/>
  <c r="K99" i="3"/>
  <c r="CT98" i="3"/>
  <c r="CR98" i="3"/>
  <c r="CN98" i="3"/>
  <c r="AO98" i="3"/>
  <c r="AI98" i="3"/>
  <c r="AG98" i="3"/>
  <c r="AB98" i="3"/>
  <c r="Z98" i="3"/>
  <c r="X98" i="3"/>
  <c r="O98" i="3"/>
  <c r="M98" i="3"/>
  <c r="K98" i="3"/>
  <c r="CT97" i="3"/>
  <c r="CR97" i="3"/>
  <c r="CN97" i="3"/>
  <c r="AO97" i="3"/>
  <c r="AI97" i="3"/>
  <c r="AG97" i="3"/>
  <c r="AB97" i="3"/>
  <c r="Z97" i="3"/>
  <c r="X97" i="3"/>
  <c r="O97" i="3"/>
  <c r="M97" i="3"/>
  <c r="K97" i="3"/>
  <c r="CT96" i="3"/>
  <c r="CR96" i="3"/>
  <c r="CN96" i="3"/>
  <c r="AO96" i="3"/>
  <c r="AI96" i="3"/>
  <c r="AG96" i="3"/>
  <c r="AB96" i="3"/>
  <c r="Z96" i="3"/>
  <c r="X96" i="3"/>
  <c r="O96" i="3"/>
  <c r="M96" i="3"/>
  <c r="K96" i="3"/>
  <c r="CT95" i="3"/>
  <c r="CR95" i="3"/>
  <c r="CN95" i="3"/>
  <c r="AO95" i="3"/>
  <c r="AI95" i="3"/>
  <c r="AG95" i="3"/>
  <c r="AB95" i="3"/>
  <c r="Z95" i="3"/>
  <c r="X95" i="3"/>
  <c r="O95" i="3"/>
  <c r="M95" i="3"/>
  <c r="K95" i="3"/>
  <c r="CT94" i="3"/>
  <c r="CR94" i="3"/>
  <c r="CN94" i="3"/>
  <c r="AO94" i="3"/>
  <c r="AI94" i="3"/>
  <c r="AG94" i="3"/>
  <c r="AB94" i="3"/>
  <c r="Z94" i="3"/>
  <c r="X94" i="3"/>
  <c r="O94" i="3"/>
  <c r="M94" i="3"/>
  <c r="K94" i="3"/>
  <c r="CT93" i="3"/>
  <c r="CR93" i="3"/>
  <c r="CN93" i="3"/>
  <c r="AO93" i="3"/>
  <c r="AI93" i="3"/>
  <c r="AG93" i="3"/>
  <c r="AB93" i="3"/>
  <c r="Z93" i="3"/>
  <c r="X93" i="3"/>
  <c r="O93" i="3"/>
  <c r="M93" i="3"/>
  <c r="K93" i="3"/>
  <c r="CT92" i="3"/>
  <c r="CR92" i="3"/>
  <c r="CN92" i="3"/>
  <c r="AO92" i="3"/>
  <c r="AI92" i="3"/>
  <c r="AG92" i="3"/>
  <c r="AB92" i="3"/>
  <c r="Z92" i="3"/>
  <c r="X92" i="3"/>
  <c r="O92" i="3"/>
  <c r="M92" i="3"/>
  <c r="K92" i="3"/>
  <c r="CT91" i="3"/>
  <c r="CR91" i="3"/>
  <c r="CN91" i="3"/>
  <c r="AO91" i="3"/>
  <c r="AI91" i="3"/>
  <c r="AG91" i="3"/>
  <c r="AB91" i="3"/>
  <c r="Z91" i="3"/>
  <c r="X91" i="3"/>
  <c r="O91" i="3"/>
  <c r="M91" i="3"/>
  <c r="K91" i="3"/>
  <c r="CT90" i="3"/>
  <c r="CR90" i="3"/>
  <c r="CN90" i="3"/>
  <c r="AO90" i="3"/>
  <c r="AI90" i="3"/>
  <c r="AG90" i="3"/>
  <c r="AB90" i="3"/>
  <c r="Z90" i="3"/>
  <c r="X90" i="3"/>
  <c r="O90" i="3"/>
  <c r="M90" i="3"/>
  <c r="K90" i="3"/>
  <c r="CT89" i="3"/>
  <c r="CR89" i="3"/>
  <c r="CN89" i="3"/>
  <c r="AO89" i="3"/>
  <c r="AI89" i="3"/>
  <c r="AG89" i="3"/>
  <c r="AB89" i="3"/>
  <c r="Z89" i="3"/>
  <c r="X89" i="3"/>
  <c r="O89" i="3"/>
  <c r="M89" i="3"/>
  <c r="K89" i="3"/>
  <c r="CT88" i="3"/>
  <c r="CR88" i="3"/>
  <c r="CN88" i="3"/>
  <c r="AO88" i="3"/>
  <c r="AI88" i="3"/>
  <c r="AG88" i="3"/>
  <c r="AB88" i="3"/>
  <c r="Z88" i="3"/>
  <c r="X88" i="3"/>
  <c r="O88" i="3"/>
  <c r="M88" i="3"/>
  <c r="K88" i="3"/>
  <c r="CT87" i="3"/>
  <c r="CR87" i="3"/>
  <c r="CN87" i="3"/>
  <c r="AO87" i="3"/>
  <c r="AI87" i="3"/>
  <c r="AG87" i="3"/>
  <c r="AB87" i="3"/>
  <c r="Z87" i="3"/>
  <c r="X87" i="3"/>
  <c r="O87" i="3"/>
  <c r="M87" i="3"/>
  <c r="K87" i="3"/>
  <c r="CT86" i="3"/>
  <c r="CR86" i="3"/>
  <c r="CN86" i="3"/>
  <c r="AO86" i="3"/>
  <c r="AI86" i="3"/>
  <c r="AG86" i="3"/>
  <c r="AB86" i="3"/>
  <c r="Z86" i="3"/>
  <c r="X86" i="3"/>
  <c r="O86" i="3"/>
  <c r="M86" i="3"/>
  <c r="K86" i="3"/>
  <c r="CT85" i="3"/>
  <c r="CR85" i="3"/>
  <c r="CN85" i="3"/>
  <c r="AO85" i="3"/>
  <c r="AI85" i="3"/>
  <c r="AG85" i="3"/>
  <c r="AB85" i="3"/>
  <c r="Z85" i="3"/>
  <c r="X85" i="3"/>
  <c r="O85" i="3"/>
  <c r="M85" i="3"/>
  <c r="K85" i="3"/>
  <c r="CT84" i="3"/>
  <c r="CR84" i="3"/>
  <c r="CN84" i="3"/>
  <c r="AO84" i="3"/>
  <c r="AI84" i="3"/>
  <c r="AG84" i="3"/>
  <c r="AB84" i="3"/>
  <c r="Z84" i="3"/>
  <c r="X84" i="3"/>
  <c r="O84" i="3"/>
  <c r="M84" i="3"/>
  <c r="K84" i="3"/>
  <c r="CT83" i="3"/>
  <c r="CR83" i="3"/>
  <c r="CN83" i="3"/>
  <c r="AO83" i="3"/>
  <c r="AI83" i="3"/>
  <c r="AG83" i="3"/>
  <c r="AB83" i="3"/>
  <c r="Z83" i="3"/>
  <c r="X83" i="3"/>
  <c r="O83" i="3"/>
  <c r="M83" i="3"/>
  <c r="K83" i="3"/>
  <c r="CT82" i="3"/>
  <c r="CR82" i="3"/>
  <c r="CN82" i="3"/>
  <c r="AO82" i="3"/>
  <c r="AI82" i="3"/>
  <c r="AG82" i="3"/>
  <c r="AB82" i="3"/>
  <c r="Z82" i="3"/>
  <c r="X82" i="3"/>
  <c r="O82" i="3"/>
  <c r="M82" i="3"/>
  <c r="K82" i="3"/>
  <c r="CT81" i="3"/>
  <c r="CR81" i="3"/>
  <c r="CN81" i="3"/>
  <c r="AO81" i="3"/>
  <c r="AI81" i="3"/>
  <c r="AG81" i="3"/>
  <c r="AB81" i="3"/>
  <c r="Z81" i="3"/>
  <c r="X81" i="3"/>
  <c r="O81" i="3"/>
  <c r="M81" i="3"/>
  <c r="K81" i="3"/>
  <c r="CT80" i="3"/>
  <c r="CR80" i="3"/>
  <c r="CN80" i="3"/>
  <c r="AO80" i="3"/>
  <c r="AI80" i="3"/>
  <c r="AG80" i="3"/>
  <c r="AB80" i="3"/>
  <c r="Z80" i="3"/>
  <c r="X80" i="3"/>
  <c r="O80" i="3"/>
  <c r="M80" i="3"/>
  <c r="K80" i="3"/>
  <c r="CT79" i="3"/>
  <c r="CR79" i="3"/>
  <c r="CN79" i="3"/>
  <c r="AO79" i="3"/>
  <c r="AI79" i="3"/>
  <c r="AG79" i="3"/>
  <c r="AB79" i="3"/>
  <c r="Z79" i="3"/>
  <c r="X79" i="3"/>
  <c r="O79" i="3"/>
  <c r="M79" i="3"/>
  <c r="K79" i="3"/>
  <c r="CT78" i="3"/>
  <c r="CR78" i="3"/>
  <c r="CN78" i="3"/>
  <c r="AO78" i="3"/>
  <c r="AI78" i="3"/>
  <c r="AG78" i="3"/>
  <c r="AB78" i="3"/>
  <c r="Z78" i="3"/>
  <c r="X78" i="3"/>
  <c r="O78" i="3"/>
  <c r="M78" i="3"/>
  <c r="K78" i="3"/>
  <c r="CT77" i="3"/>
  <c r="CR77" i="3"/>
  <c r="CN77" i="3"/>
  <c r="AO77" i="3"/>
  <c r="AI77" i="3"/>
  <c r="AG77" i="3"/>
  <c r="AB77" i="3"/>
  <c r="Z77" i="3"/>
  <c r="X77" i="3"/>
  <c r="O77" i="3"/>
  <c r="M77" i="3"/>
  <c r="K77" i="3"/>
  <c r="CT76" i="3"/>
  <c r="CR76" i="3"/>
  <c r="CN76" i="3"/>
  <c r="AO76" i="3"/>
  <c r="AI76" i="3"/>
  <c r="AG76" i="3"/>
  <c r="AB76" i="3"/>
  <c r="Z76" i="3"/>
  <c r="X76" i="3"/>
  <c r="O76" i="3"/>
  <c r="M76" i="3"/>
  <c r="K76" i="3"/>
  <c r="CT75" i="3"/>
  <c r="CR75" i="3"/>
  <c r="CN75" i="3"/>
  <c r="AO75" i="3"/>
  <c r="AI75" i="3"/>
  <c r="AG75" i="3"/>
  <c r="AB75" i="3"/>
  <c r="Z75" i="3"/>
  <c r="X75" i="3"/>
  <c r="O75" i="3"/>
  <c r="M75" i="3"/>
  <c r="K75" i="3"/>
  <c r="CT74" i="3"/>
  <c r="CR74" i="3"/>
  <c r="CN74" i="3"/>
  <c r="AO74" i="3"/>
  <c r="AI74" i="3"/>
  <c r="AG74" i="3"/>
  <c r="AB74" i="3"/>
  <c r="Z74" i="3"/>
  <c r="X74" i="3"/>
  <c r="O74" i="3"/>
  <c r="M74" i="3"/>
  <c r="K74" i="3"/>
  <c r="CT73" i="3"/>
  <c r="CR73" i="3"/>
  <c r="CN73" i="3"/>
  <c r="AO73" i="3"/>
  <c r="AI73" i="3"/>
  <c r="AG73" i="3"/>
  <c r="AB73" i="3"/>
  <c r="Z73" i="3"/>
  <c r="X73" i="3"/>
  <c r="O73" i="3"/>
  <c r="M73" i="3"/>
  <c r="K73" i="3"/>
  <c r="CT72" i="3"/>
  <c r="CR72" i="3"/>
  <c r="CN72" i="3"/>
  <c r="AI72" i="3"/>
  <c r="AG72" i="3"/>
  <c r="AB72" i="3"/>
  <c r="Z72" i="3"/>
  <c r="X72" i="3"/>
  <c r="O72" i="3"/>
  <c r="M72" i="3"/>
  <c r="K72" i="3"/>
  <c r="CT71" i="3"/>
  <c r="CR71" i="3"/>
  <c r="CN71" i="3"/>
  <c r="AO71" i="3"/>
  <c r="AI71" i="3"/>
  <c r="AG71" i="3"/>
  <c r="AB71" i="3"/>
  <c r="Z71" i="3"/>
  <c r="X71" i="3"/>
  <c r="O71" i="3"/>
  <c r="M71" i="3"/>
  <c r="K71" i="3"/>
  <c r="CT70" i="3"/>
  <c r="CR70" i="3"/>
  <c r="CN70" i="3"/>
  <c r="AO70" i="3"/>
  <c r="AI70" i="3"/>
  <c r="AG70" i="3"/>
  <c r="AB70" i="3"/>
  <c r="Z70" i="3"/>
  <c r="X70" i="3"/>
  <c r="O70" i="3"/>
  <c r="M70" i="3"/>
  <c r="K70" i="3"/>
  <c r="CT69" i="3"/>
  <c r="CR69" i="3"/>
  <c r="CN69" i="3"/>
  <c r="AO69" i="3"/>
  <c r="AI69" i="3"/>
  <c r="AG69" i="3"/>
  <c r="AB69" i="3"/>
  <c r="Z69" i="3"/>
  <c r="X69" i="3"/>
  <c r="O69" i="3"/>
  <c r="M69" i="3"/>
  <c r="K69" i="3"/>
  <c r="CT68" i="3"/>
  <c r="CR68" i="3"/>
  <c r="CN68" i="3"/>
  <c r="AO68" i="3"/>
  <c r="AI68" i="3"/>
  <c r="AG68" i="3"/>
  <c r="AB68" i="3"/>
  <c r="Z68" i="3"/>
  <c r="X68" i="3"/>
  <c r="O68" i="3"/>
  <c r="M68" i="3"/>
  <c r="K68" i="3"/>
  <c r="CT67" i="3"/>
  <c r="CR67" i="3"/>
  <c r="CN67" i="3"/>
  <c r="AO67" i="3"/>
  <c r="AI67" i="3"/>
  <c r="AG67" i="3"/>
  <c r="AB67" i="3"/>
  <c r="Z67" i="3"/>
  <c r="X67" i="3"/>
  <c r="O67" i="3"/>
  <c r="M67" i="3"/>
  <c r="K67" i="3"/>
  <c r="CT66" i="3"/>
  <c r="CR66" i="3"/>
  <c r="CN66" i="3"/>
  <c r="AO66" i="3"/>
  <c r="AI66" i="3"/>
  <c r="AG66" i="3"/>
  <c r="AB66" i="3"/>
  <c r="Z66" i="3"/>
  <c r="X66" i="3"/>
  <c r="O66" i="3"/>
  <c r="M66" i="3"/>
  <c r="K66" i="3"/>
  <c r="CT65" i="3"/>
  <c r="CR65" i="3"/>
  <c r="CN65" i="3"/>
  <c r="AO65" i="3"/>
  <c r="AI65" i="3"/>
  <c r="AG65" i="3"/>
  <c r="AB65" i="3"/>
  <c r="Z65" i="3"/>
  <c r="X65" i="3"/>
  <c r="O65" i="3"/>
  <c r="M65" i="3"/>
  <c r="K65" i="3"/>
  <c r="CT64" i="3"/>
  <c r="CR64" i="3"/>
  <c r="CN64" i="3"/>
  <c r="AO64" i="3"/>
  <c r="AI64" i="3"/>
  <c r="AG64" i="3"/>
  <c r="AB64" i="3"/>
  <c r="Z64" i="3"/>
  <c r="X64" i="3"/>
  <c r="O64" i="3"/>
  <c r="M64" i="3"/>
  <c r="K64" i="3"/>
  <c r="CT63" i="3"/>
  <c r="CR63" i="3"/>
  <c r="CN63" i="3"/>
  <c r="AO63" i="3"/>
  <c r="AI63" i="3"/>
  <c r="AG63" i="3"/>
  <c r="AB63" i="3"/>
  <c r="Z63" i="3"/>
  <c r="X63" i="3"/>
  <c r="O63" i="3"/>
  <c r="M63" i="3"/>
  <c r="K63" i="3"/>
  <c r="CT62" i="3"/>
  <c r="CR62" i="3"/>
  <c r="CN62" i="3"/>
  <c r="AO62" i="3"/>
  <c r="AI62" i="3"/>
  <c r="AG62" i="3"/>
  <c r="AB62" i="3"/>
  <c r="Z62" i="3"/>
  <c r="X62" i="3"/>
  <c r="O62" i="3"/>
  <c r="M62" i="3"/>
  <c r="K62" i="3"/>
  <c r="CT61" i="3"/>
  <c r="CR61" i="3"/>
  <c r="CN61" i="3"/>
  <c r="AO61" i="3"/>
  <c r="AI61" i="3"/>
  <c r="AG61" i="3"/>
  <c r="AB61" i="3"/>
  <c r="Z61" i="3"/>
  <c r="X61" i="3"/>
  <c r="O61" i="3"/>
  <c r="M61" i="3"/>
  <c r="K61" i="3"/>
  <c r="CT60" i="3"/>
  <c r="CR60" i="3"/>
  <c r="CN60" i="3"/>
  <c r="AO60" i="3"/>
  <c r="AI60" i="3"/>
  <c r="AG60" i="3"/>
  <c r="AB60" i="3"/>
  <c r="Z60" i="3"/>
  <c r="X60" i="3"/>
  <c r="O60" i="3"/>
  <c r="M60" i="3"/>
  <c r="K60" i="3"/>
  <c r="CT59" i="3"/>
  <c r="CR59" i="3"/>
  <c r="CN59" i="3"/>
  <c r="AO59" i="3"/>
  <c r="AI59" i="3"/>
  <c r="AG59" i="3"/>
  <c r="AB59" i="3"/>
  <c r="Z59" i="3"/>
  <c r="X59" i="3"/>
  <c r="O59" i="3"/>
  <c r="M59" i="3"/>
  <c r="K59" i="3"/>
  <c r="CT58" i="3"/>
  <c r="CR58" i="3"/>
  <c r="CN58" i="3"/>
  <c r="AO58" i="3"/>
  <c r="AI58" i="3"/>
  <c r="AG58" i="3"/>
  <c r="AB58" i="3"/>
  <c r="Z58" i="3"/>
  <c r="X58" i="3"/>
  <c r="O58" i="3"/>
  <c r="M58" i="3"/>
  <c r="K58" i="3"/>
  <c r="CT57" i="3"/>
  <c r="CR57" i="3"/>
  <c r="CN57" i="3"/>
  <c r="AO57" i="3"/>
  <c r="AI57" i="3"/>
  <c r="AG57" i="3"/>
  <c r="AB57" i="3"/>
  <c r="Z57" i="3"/>
  <c r="X57" i="3"/>
  <c r="O57" i="3"/>
  <c r="M57" i="3"/>
  <c r="K57" i="3"/>
  <c r="CT56" i="3"/>
  <c r="CR56" i="3"/>
  <c r="CN56" i="3"/>
  <c r="AO56" i="3"/>
  <c r="AI56" i="3"/>
  <c r="AG56" i="3"/>
  <c r="AB56" i="3"/>
  <c r="Z56" i="3"/>
  <c r="X56" i="3"/>
  <c r="O56" i="3"/>
  <c r="M56" i="3"/>
  <c r="K56" i="3"/>
  <c r="CT55" i="3"/>
  <c r="CR55" i="3"/>
  <c r="CN55" i="3"/>
  <c r="AO55" i="3"/>
  <c r="AI55" i="3"/>
  <c r="AG55" i="3"/>
  <c r="AB55" i="3"/>
  <c r="Z55" i="3"/>
  <c r="X55" i="3"/>
  <c r="O55" i="3"/>
  <c r="M55" i="3"/>
  <c r="K55" i="3"/>
  <c r="CT54" i="3"/>
  <c r="CR54" i="3"/>
  <c r="CN54" i="3"/>
  <c r="AO54" i="3"/>
  <c r="AI54" i="3"/>
  <c r="AG54" i="3"/>
  <c r="AB54" i="3"/>
  <c r="Z54" i="3"/>
  <c r="X54" i="3"/>
  <c r="O54" i="3"/>
  <c r="M54" i="3"/>
  <c r="K54" i="3"/>
  <c r="CT53" i="3"/>
  <c r="CR53" i="3"/>
  <c r="CN53" i="3"/>
  <c r="AO53" i="3"/>
  <c r="AI53" i="3"/>
  <c r="AG53" i="3"/>
  <c r="AB53" i="3"/>
  <c r="Z53" i="3"/>
  <c r="X53" i="3"/>
  <c r="O53" i="3"/>
  <c r="M53" i="3"/>
  <c r="K53" i="3"/>
  <c r="CT52" i="3"/>
  <c r="CR52" i="3"/>
  <c r="CN52" i="3"/>
  <c r="AO52" i="3"/>
  <c r="AI52" i="3"/>
  <c r="AG52" i="3"/>
  <c r="AB52" i="3"/>
  <c r="Z52" i="3"/>
  <c r="X52" i="3"/>
  <c r="O52" i="3"/>
  <c r="M52" i="3"/>
  <c r="K52" i="3"/>
  <c r="CT51" i="3"/>
  <c r="CR51" i="3"/>
  <c r="CN51" i="3"/>
  <c r="AO51" i="3"/>
  <c r="AI51" i="3"/>
  <c r="AG51" i="3"/>
  <c r="AB51" i="3"/>
  <c r="Z51" i="3"/>
  <c r="X51" i="3"/>
  <c r="O51" i="3"/>
  <c r="M51" i="3"/>
  <c r="K51" i="3"/>
  <c r="CT50" i="3"/>
  <c r="CR50" i="3"/>
  <c r="CN50" i="3"/>
  <c r="AO50" i="3"/>
  <c r="AI50" i="3"/>
  <c r="AG50" i="3"/>
  <c r="AB50" i="3"/>
  <c r="Z50" i="3"/>
  <c r="X50" i="3"/>
  <c r="O50" i="3"/>
  <c r="M50" i="3"/>
  <c r="K50" i="3"/>
  <c r="CT49" i="3"/>
  <c r="CR49" i="3"/>
  <c r="CN49" i="3"/>
  <c r="AO49" i="3"/>
  <c r="AI49" i="3"/>
  <c r="AG49" i="3"/>
  <c r="AB49" i="3"/>
  <c r="Z49" i="3"/>
  <c r="X49" i="3"/>
  <c r="O49" i="3"/>
  <c r="M49" i="3"/>
  <c r="K49" i="3"/>
  <c r="CT48" i="3"/>
  <c r="CR48" i="3"/>
  <c r="CN48" i="3"/>
  <c r="AO48" i="3"/>
  <c r="AI48" i="3"/>
  <c r="AG48" i="3"/>
  <c r="AB48" i="3"/>
  <c r="Z48" i="3"/>
  <c r="X48" i="3"/>
  <c r="O48" i="3"/>
  <c r="M48" i="3"/>
  <c r="K48" i="3"/>
  <c r="CT47" i="3"/>
  <c r="CR47" i="3"/>
  <c r="CN47" i="3"/>
  <c r="AO47" i="3"/>
  <c r="AI47" i="3"/>
  <c r="AG47" i="3"/>
  <c r="AB47" i="3"/>
  <c r="Z47" i="3"/>
  <c r="X47" i="3"/>
  <c r="O47" i="3"/>
  <c r="M47" i="3"/>
  <c r="K47" i="3"/>
  <c r="CT46" i="3"/>
  <c r="CR46" i="3"/>
  <c r="CN46" i="3"/>
  <c r="AO46" i="3"/>
  <c r="AI46" i="3"/>
  <c r="AG46" i="3"/>
  <c r="AB46" i="3"/>
  <c r="Z46" i="3"/>
  <c r="X46" i="3"/>
  <c r="O46" i="3"/>
  <c r="M46" i="3"/>
  <c r="K46" i="3"/>
  <c r="CT45" i="3"/>
  <c r="CR45" i="3"/>
  <c r="CN45" i="3"/>
  <c r="AO45" i="3"/>
  <c r="AI45" i="3"/>
  <c r="AG45" i="3"/>
  <c r="AB45" i="3"/>
  <c r="Z45" i="3"/>
  <c r="X45" i="3"/>
  <c r="O45" i="3"/>
  <c r="M45" i="3"/>
  <c r="K45" i="3"/>
  <c r="CT44" i="3"/>
  <c r="CR44" i="3"/>
  <c r="CN44" i="3"/>
  <c r="AO44" i="3"/>
  <c r="AI44" i="3"/>
  <c r="AG44" i="3"/>
  <c r="AB44" i="3"/>
  <c r="Z44" i="3"/>
  <c r="X44" i="3"/>
  <c r="O44" i="3"/>
  <c r="M44" i="3"/>
  <c r="K44" i="3"/>
  <c r="CT43" i="3"/>
  <c r="CR43" i="3"/>
  <c r="CN43" i="3"/>
  <c r="AO43" i="3"/>
  <c r="AI43" i="3"/>
  <c r="AG43" i="3"/>
  <c r="AB43" i="3"/>
  <c r="Z43" i="3"/>
  <c r="X43" i="3"/>
  <c r="O43" i="3"/>
  <c r="M43" i="3"/>
  <c r="K43" i="3"/>
  <c r="CT42" i="3"/>
  <c r="CR42" i="3"/>
  <c r="CN42" i="3"/>
  <c r="AO42" i="3"/>
  <c r="AI42" i="3"/>
  <c r="AG42" i="3"/>
  <c r="AB42" i="3"/>
  <c r="Z42" i="3"/>
  <c r="X42" i="3"/>
  <c r="O42" i="3"/>
  <c r="M42" i="3"/>
  <c r="K42" i="3"/>
  <c r="CT41" i="3"/>
  <c r="CR41" i="3"/>
  <c r="CN41" i="3"/>
  <c r="AO41" i="3"/>
  <c r="AI41" i="3"/>
  <c r="AG41" i="3"/>
  <c r="AB41" i="3"/>
  <c r="Z41" i="3"/>
  <c r="X41" i="3"/>
  <c r="O41" i="3"/>
  <c r="M41" i="3"/>
  <c r="K41" i="3"/>
  <c r="CT40" i="3"/>
  <c r="CR40" i="3"/>
  <c r="CN40" i="3"/>
  <c r="AO40" i="3"/>
  <c r="AI40" i="3"/>
  <c r="AG40" i="3"/>
  <c r="AB40" i="3"/>
  <c r="Z40" i="3"/>
  <c r="X40" i="3"/>
  <c r="O40" i="3"/>
  <c r="M40" i="3"/>
  <c r="K40" i="3"/>
  <c r="CT39" i="3"/>
  <c r="CR39" i="3"/>
  <c r="CN39" i="3"/>
  <c r="AO39" i="3"/>
  <c r="AI39" i="3"/>
  <c r="AG39" i="3"/>
  <c r="AB39" i="3"/>
  <c r="Z39" i="3"/>
  <c r="X39" i="3"/>
  <c r="O39" i="3"/>
  <c r="M39" i="3"/>
  <c r="K39" i="3"/>
  <c r="CT38" i="3"/>
  <c r="CR38" i="3"/>
  <c r="CN38" i="3"/>
  <c r="AO38" i="3"/>
  <c r="AI38" i="3"/>
  <c r="AG38" i="3"/>
  <c r="AB38" i="3"/>
  <c r="Z38" i="3"/>
  <c r="X38" i="3"/>
  <c r="O38" i="3"/>
  <c r="M38" i="3"/>
  <c r="K38" i="3"/>
  <c r="CT37" i="3"/>
  <c r="CR37" i="3"/>
  <c r="CN37" i="3"/>
  <c r="AO37" i="3"/>
  <c r="AI37" i="3"/>
  <c r="AG37" i="3"/>
  <c r="AB37" i="3"/>
  <c r="Z37" i="3"/>
  <c r="X37" i="3"/>
  <c r="O37" i="3"/>
  <c r="M37" i="3"/>
  <c r="K37" i="3"/>
  <c r="CT36" i="3"/>
  <c r="CR36" i="3"/>
  <c r="CN36" i="3"/>
  <c r="AO36" i="3"/>
  <c r="AI36" i="3"/>
  <c r="AG36" i="3"/>
  <c r="AB36" i="3"/>
  <c r="Z36" i="3"/>
  <c r="X36" i="3"/>
  <c r="O36" i="3"/>
  <c r="M36" i="3"/>
  <c r="K36" i="3"/>
  <c r="CT35" i="3"/>
  <c r="CR35" i="3"/>
  <c r="CN35" i="3"/>
  <c r="AO35" i="3"/>
  <c r="AI35" i="3"/>
  <c r="AG35" i="3"/>
  <c r="AB35" i="3"/>
  <c r="Z35" i="3"/>
  <c r="X35" i="3"/>
  <c r="O35" i="3"/>
  <c r="M35" i="3"/>
  <c r="K35" i="3"/>
  <c r="CT34" i="3"/>
  <c r="CR34" i="3"/>
  <c r="CN34" i="3"/>
  <c r="AO34" i="3"/>
  <c r="AI34" i="3"/>
  <c r="AG34" i="3"/>
  <c r="AB34" i="3"/>
  <c r="Z34" i="3"/>
  <c r="X34" i="3"/>
  <c r="O34" i="3"/>
  <c r="M34" i="3"/>
  <c r="K34" i="3"/>
  <c r="CT33" i="3"/>
  <c r="CR33" i="3"/>
  <c r="CN33" i="3"/>
  <c r="AO33" i="3"/>
  <c r="AI33" i="3"/>
  <c r="AG33" i="3"/>
  <c r="AB33" i="3"/>
  <c r="Z33" i="3"/>
  <c r="X33" i="3"/>
  <c r="O33" i="3"/>
  <c r="M33" i="3"/>
  <c r="K33" i="3"/>
  <c r="CT32" i="3"/>
  <c r="CR32" i="3"/>
  <c r="CN32" i="3"/>
  <c r="AO32" i="3"/>
  <c r="AI32" i="3"/>
  <c r="AG32" i="3"/>
  <c r="AB32" i="3"/>
  <c r="Z32" i="3"/>
  <c r="X32" i="3"/>
  <c r="O32" i="3"/>
  <c r="M32" i="3"/>
  <c r="K32" i="3"/>
  <c r="CT31" i="3"/>
  <c r="CR31" i="3"/>
  <c r="CN31" i="3"/>
  <c r="AO31" i="3"/>
  <c r="AI31" i="3"/>
  <c r="AG31" i="3"/>
  <c r="AB31" i="3"/>
  <c r="Z31" i="3"/>
  <c r="X31" i="3"/>
  <c r="O31" i="3"/>
  <c r="M31" i="3"/>
  <c r="K31" i="3"/>
  <c r="CT30" i="3"/>
  <c r="CR30" i="3"/>
  <c r="CN30" i="3"/>
  <c r="AO30" i="3"/>
  <c r="AI30" i="3"/>
  <c r="AG30" i="3"/>
  <c r="AB30" i="3"/>
  <c r="Z30" i="3"/>
  <c r="X30" i="3"/>
  <c r="O30" i="3"/>
  <c r="M30" i="3"/>
  <c r="K30" i="3"/>
  <c r="CT29" i="3"/>
  <c r="CR29" i="3"/>
  <c r="CN29" i="3"/>
  <c r="AO29" i="3"/>
  <c r="AI29" i="3"/>
  <c r="AG29" i="3"/>
  <c r="AB29" i="3"/>
  <c r="Z29" i="3"/>
  <c r="X29" i="3"/>
  <c r="O29" i="3"/>
  <c r="M29" i="3"/>
  <c r="K29" i="3"/>
  <c r="CT28" i="3"/>
  <c r="CR28" i="3"/>
  <c r="CN28" i="3"/>
  <c r="AO28" i="3"/>
  <c r="AI28" i="3"/>
  <c r="AG28" i="3"/>
  <c r="AB28" i="3"/>
  <c r="Z28" i="3"/>
  <c r="X28" i="3"/>
  <c r="O28" i="3"/>
  <c r="M28" i="3"/>
  <c r="K28" i="3"/>
  <c r="CT27" i="3"/>
  <c r="CR27" i="3"/>
  <c r="CN27" i="3"/>
  <c r="AO27" i="3"/>
  <c r="AI27" i="3"/>
  <c r="AG27" i="3"/>
  <c r="AB27" i="3"/>
  <c r="Z27" i="3"/>
  <c r="X27" i="3"/>
  <c r="O27" i="3"/>
  <c r="M27" i="3"/>
  <c r="K27" i="3"/>
  <c r="CT26" i="3"/>
  <c r="CR26" i="3"/>
  <c r="CN26" i="3"/>
  <c r="AO26" i="3"/>
  <c r="AI26" i="3"/>
  <c r="AG26" i="3"/>
  <c r="AB26" i="3"/>
  <c r="Z26" i="3"/>
  <c r="X26" i="3"/>
  <c r="O26" i="3"/>
  <c r="M26" i="3"/>
  <c r="K26" i="3"/>
  <c r="CT25" i="3"/>
  <c r="CR25" i="3"/>
  <c r="CN25" i="3"/>
  <c r="AO25" i="3"/>
  <c r="AI25" i="3"/>
  <c r="AG25" i="3"/>
  <c r="AB25" i="3"/>
  <c r="Z25" i="3"/>
  <c r="X25" i="3"/>
  <c r="O25" i="3"/>
  <c r="M25" i="3"/>
  <c r="K25" i="3"/>
  <c r="CT24" i="3"/>
  <c r="CR24" i="3"/>
  <c r="CN24" i="3"/>
  <c r="AO24" i="3"/>
  <c r="AI24" i="3"/>
  <c r="AG24" i="3"/>
  <c r="AB24" i="3"/>
  <c r="Z24" i="3"/>
  <c r="X24" i="3"/>
  <c r="O24" i="3"/>
  <c r="M24" i="3"/>
  <c r="K24" i="3"/>
  <c r="CT23" i="3"/>
  <c r="CR23" i="3"/>
  <c r="CN23" i="3"/>
  <c r="AO23" i="3"/>
  <c r="AI23" i="3"/>
  <c r="AG23" i="3"/>
  <c r="AB23" i="3"/>
  <c r="Z23" i="3"/>
  <c r="X23" i="3"/>
  <c r="O23" i="3"/>
  <c r="M23" i="3"/>
  <c r="K23" i="3"/>
  <c r="CT22" i="3"/>
  <c r="CR22" i="3"/>
  <c r="CN22" i="3"/>
  <c r="AO22" i="3"/>
  <c r="AI22" i="3"/>
  <c r="AG22" i="3"/>
  <c r="AB22" i="3"/>
  <c r="Z22" i="3"/>
  <c r="X22" i="3"/>
  <c r="O22" i="3"/>
  <c r="M22" i="3"/>
  <c r="K22" i="3"/>
  <c r="CT21" i="3"/>
  <c r="CR21" i="3"/>
  <c r="CN21" i="3"/>
  <c r="AO21" i="3"/>
  <c r="AI21" i="3"/>
  <c r="AG21" i="3"/>
  <c r="AB21" i="3"/>
  <c r="Z21" i="3"/>
  <c r="X21" i="3"/>
  <c r="O21" i="3"/>
  <c r="M21" i="3"/>
  <c r="K21" i="3"/>
  <c r="CT20" i="3"/>
  <c r="CR20" i="3"/>
  <c r="CN20" i="3"/>
  <c r="AO20" i="3"/>
  <c r="AI20" i="3"/>
  <c r="AG20" i="3"/>
  <c r="AB20" i="3"/>
  <c r="Z20" i="3"/>
  <c r="X20" i="3"/>
  <c r="O20" i="3"/>
  <c r="M20" i="3"/>
  <c r="K20" i="3"/>
  <c r="CT19" i="3"/>
  <c r="CR19" i="3"/>
  <c r="CN19" i="3"/>
  <c r="AO19" i="3"/>
  <c r="AI19" i="3"/>
  <c r="AG19" i="3"/>
  <c r="AB19" i="3"/>
  <c r="Z19" i="3"/>
  <c r="X19" i="3"/>
  <c r="O19" i="3"/>
  <c r="M19" i="3"/>
  <c r="K19" i="3"/>
  <c r="CT18" i="3"/>
  <c r="CR18" i="3"/>
  <c r="CN18" i="3"/>
  <c r="AO18" i="3"/>
  <c r="AI18" i="3"/>
  <c r="AG18" i="3"/>
  <c r="AB18" i="3"/>
  <c r="Z18" i="3"/>
  <c r="X18" i="3"/>
  <c r="O18" i="3"/>
  <c r="M18" i="3"/>
  <c r="K18" i="3"/>
  <c r="CT17" i="3"/>
  <c r="CR17" i="3"/>
  <c r="CN17" i="3"/>
  <c r="AO17" i="3"/>
  <c r="AI17" i="3"/>
  <c r="AG17" i="3"/>
  <c r="AB17" i="3"/>
  <c r="Z17" i="3"/>
  <c r="X17" i="3"/>
  <c r="O17" i="3"/>
  <c r="M17" i="3"/>
  <c r="K17" i="3"/>
  <c r="CT16" i="3"/>
  <c r="CR16" i="3"/>
  <c r="CN16" i="3"/>
  <c r="AO16" i="3"/>
  <c r="AI16" i="3"/>
  <c r="AG16" i="3"/>
  <c r="AB16" i="3"/>
  <c r="Z16" i="3"/>
  <c r="X16" i="3"/>
  <c r="O16" i="3"/>
  <c r="M16" i="3"/>
  <c r="K16" i="3"/>
  <c r="CT15" i="3"/>
  <c r="CR15" i="3"/>
  <c r="CN15" i="3"/>
  <c r="AO15" i="3"/>
  <c r="AI15" i="3"/>
  <c r="AG15" i="3"/>
  <c r="AB15" i="3"/>
  <c r="Z15" i="3"/>
  <c r="X15" i="3"/>
  <c r="O15" i="3"/>
  <c r="M15" i="3"/>
  <c r="K15" i="3"/>
  <c r="CT14" i="3"/>
  <c r="CR14" i="3"/>
  <c r="CN14" i="3"/>
  <c r="AO14" i="3"/>
  <c r="AI14" i="3"/>
  <c r="AG14" i="3"/>
  <c r="AB14" i="3"/>
  <c r="Z14" i="3"/>
  <c r="X14" i="3"/>
  <c r="O14" i="3"/>
  <c r="M14" i="3"/>
  <c r="K14" i="3"/>
  <c r="CT13" i="3"/>
  <c r="CR13" i="3"/>
  <c r="CN13" i="3"/>
  <c r="AO13" i="3"/>
  <c r="AI13" i="3"/>
  <c r="AG13" i="3"/>
  <c r="AB13" i="3"/>
  <c r="Z13" i="3"/>
  <c r="X13" i="3"/>
  <c r="O13" i="3"/>
  <c r="M13" i="3"/>
  <c r="K13" i="3"/>
  <c r="CT12" i="3"/>
  <c r="CR12" i="3"/>
  <c r="CN12" i="3"/>
  <c r="AO12" i="3"/>
  <c r="AI12" i="3"/>
  <c r="AG12" i="3"/>
  <c r="AB12" i="3"/>
  <c r="Z12" i="3"/>
  <c r="X12" i="3"/>
  <c r="O12" i="3"/>
  <c r="M12" i="3"/>
  <c r="K12" i="3"/>
  <c r="CT11" i="3"/>
  <c r="CR11" i="3"/>
  <c r="CN11" i="3"/>
  <c r="AO11" i="3"/>
  <c r="AI11" i="3"/>
  <c r="AG11" i="3"/>
  <c r="AB11" i="3"/>
  <c r="Z11" i="3"/>
  <c r="X11" i="3"/>
  <c r="O11" i="3"/>
  <c r="M11" i="3"/>
  <c r="K11" i="3"/>
  <c r="CT10" i="3"/>
  <c r="CR10" i="3"/>
  <c r="CN10" i="3"/>
  <c r="AO10" i="3"/>
  <c r="AI10" i="3"/>
  <c r="AG10" i="3"/>
  <c r="AB10" i="3"/>
  <c r="Z10" i="3"/>
  <c r="X10" i="3"/>
  <c r="O10" i="3"/>
  <c r="M10" i="3"/>
  <c r="K10" i="3"/>
  <c r="CT9" i="3"/>
  <c r="CR9" i="3"/>
  <c r="CN9" i="3"/>
  <c r="AO9" i="3"/>
  <c r="AI9" i="3"/>
  <c r="AG9" i="3"/>
  <c r="AB9" i="3"/>
  <c r="Z9" i="3"/>
  <c r="X9" i="3"/>
  <c r="O9" i="3"/>
  <c r="M9" i="3"/>
  <c r="K9" i="3"/>
  <c r="CT8" i="3"/>
  <c r="CR8" i="3"/>
  <c r="CN8" i="3"/>
  <c r="AO8" i="3"/>
  <c r="AI8" i="3"/>
  <c r="AG8" i="3"/>
  <c r="AB8" i="3"/>
  <c r="Z8" i="3"/>
  <c r="X8" i="3"/>
  <c r="O8" i="3"/>
  <c r="M8" i="3"/>
  <c r="K8" i="3"/>
  <c r="CT7" i="3"/>
  <c r="CR7" i="3"/>
  <c r="CN7" i="3"/>
  <c r="AO7" i="3"/>
  <c r="AI7" i="3"/>
  <c r="AG7" i="3"/>
  <c r="AB7" i="3"/>
  <c r="Z7" i="3"/>
  <c r="X7" i="3"/>
  <c r="O7" i="3"/>
  <c r="M7" i="3"/>
  <c r="CT6" i="3"/>
  <c r="CR6" i="3"/>
  <c r="CN6" i="3"/>
  <c r="AO6" i="3"/>
  <c r="AI6" i="3"/>
  <c r="AG6" i="3"/>
  <c r="AB6" i="3"/>
  <c r="Z6" i="3"/>
  <c r="X6" i="3"/>
  <c r="O6" i="3"/>
  <c r="M6" i="3"/>
  <c r="K6" i="3"/>
  <c r="CT5" i="3"/>
  <c r="CR5" i="3"/>
  <c r="CN5" i="3"/>
  <c r="AO5" i="3"/>
  <c r="AI5" i="3"/>
  <c r="AG5" i="3"/>
  <c r="AB5" i="3"/>
  <c r="Z5" i="3"/>
  <c r="X5" i="3"/>
  <c r="O5" i="3"/>
  <c r="M5" i="3"/>
  <c r="AC40" i="10" l="1"/>
  <c r="AC41" i="10" s="1"/>
  <c r="AC42" i="10" s="1"/>
  <c r="AC43" i="10" s="1"/>
  <c r="AC44" i="10" s="1"/>
  <c r="AC45" i="10" s="1"/>
  <c r="AC46" i="10" s="1"/>
  <c r="AC47" i="10" s="1"/>
  <c r="AC48" i="10" s="1"/>
  <c r="AC50" i="10" s="1"/>
  <c r="AC51" i="10" s="1"/>
  <c r="AC52" i="10" s="1"/>
  <c r="AC53" i="10" s="1"/>
  <c r="F18" i="3"/>
  <c r="AC54" i="10" l="1"/>
  <c r="AC55" i="10" s="1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7" i="3"/>
  <c r="AX98" i="3"/>
  <c r="AX99" i="3"/>
  <c r="AX100" i="3"/>
  <c r="AX101" i="3"/>
  <c r="AX102" i="3"/>
  <c r="AX103" i="3"/>
  <c r="AX104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AX151" i="3"/>
  <c r="AX152" i="3"/>
  <c r="AX153" i="3"/>
  <c r="AX154" i="3"/>
  <c r="AX155" i="3"/>
  <c r="AX156" i="3"/>
  <c r="AX157" i="3"/>
  <c r="AX158" i="3"/>
  <c r="AX159" i="3"/>
  <c r="AX160" i="3"/>
  <c r="AX161" i="3"/>
  <c r="AX162" i="3"/>
  <c r="AX163" i="3"/>
  <c r="AX164" i="3"/>
  <c r="AX165" i="3"/>
  <c r="AX166" i="3"/>
  <c r="AX167" i="3"/>
  <c r="AX168" i="3"/>
  <c r="AX169" i="3"/>
  <c r="AX170" i="3"/>
  <c r="AX171" i="3"/>
  <c r="AX172" i="3"/>
  <c r="AX173" i="3"/>
  <c r="AX174" i="3"/>
  <c r="AX175" i="3"/>
  <c r="AX176" i="3"/>
  <c r="AX177" i="3"/>
  <c r="AX178" i="3"/>
  <c r="AX179" i="3"/>
  <c r="AX180" i="3"/>
  <c r="AX181" i="3"/>
  <c r="AX182" i="3"/>
  <c r="AX183" i="3"/>
  <c r="AX184" i="3"/>
  <c r="AX185" i="3"/>
  <c r="AX186" i="3"/>
  <c r="AX187" i="3"/>
  <c r="AX188" i="3"/>
  <c r="AX189" i="3"/>
  <c r="AX190" i="3"/>
  <c r="AX191" i="3"/>
  <c r="AX192" i="3"/>
  <c r="AX193" i="3"/>
  <c r="AX194" i="3"/>
  <c r="AX195" i="3"/>
  <c r="AX196" i="3"/>
  <c r="AX197" i="3"/>
  <c r="AX198" i="3"/>
  <c r="AX199" i="3"/>
  <c r="AX200" i="3"/>
  <c r="AX201" i="3"/>
  <c r="AX202" i="3"/>
  <c r="AX203" i="3"/>
  <c r="AX204" i="3"/>
  <c r="AX205" i="3"/>
  <c r="AX206" i="3"/>
  <c r="AX207" i="3"/>
  <c r="AX208" i="3"/>
  <c r="AX209" i="3"/>
  <c r="AX210" i="3"/>
  <c r="AX211" i="3"/>
  <c r="AX212" i="3"/>
  <c r="AX213" i="3"/>
  <c r="AX214" i="3"/>
  <c r="AX215" i="3"/>
  <c r="AX216" i="3"/>
  <c r="AX217" i="3"/>
  <c r="AX218" i="3"/>
  <c r="AX219" i="3"/>
  <c r="AX220" i="3"/>
  <c r="AX221" i="3"/>
  <c r="AX222" i="3"/>
  <c r="AX223" i="3"/>
  <c r="AX224" i="3"/>
  <c r="AX225" i="3"/>
  <c r="AX226" i="3"/>
  <c r="AX227" i="3"/>
  <c r="AX228" i="3"/>
  <c r="AX229" i="3"/>
  <c r="AX230" i="3"/>
  <c r="AX231" i="3"/>
  <c r="AX232" i="3"/>
  <c r="AX233" i="3"/>
  <c r="AX234" i="3"/>
  <c r="AX235" i="3"/>
  <c r="AX236" i="3"/>
  <c r="AX237" i="3"/>
  <c r="AX238" i="3"/>
  <c r="AX239" i="3"/>
  <c r="AX240" i="3"/>
  <c r="AX241" i="3"/>
  <c r="AX242" i="3"/>
  <c r="AX243" i="3"/>
  <c r="AX244" i="3"/>
  <c r="AX245" i="3"/>
  <c r="AX246" i="3"/>
  <c r="AX247" i="3"/>
  <c r="AX248" i="3"/>
  <c r="AX249" i="3"/>
  <c r="AX250" i="3"/>
  <c r="AX251" i="3"/>
  <c r="AX252" i="3"/>
  <c r="AX253" i="3"/>
  <c r="AX254" i="3"/>
  <c r="AX255" i="3"/>
  <c r="AX256" i="3"/>
  <c r="AX257" i="3"/>
  <c r="AX258" i="3"/>
  <c r="AX259" i="3"/>
  <c r="AX260" i="3"/>
  <c r="AX261" i="3"/>
  <c r="AX262" i="3"/>
  <c r="AX263" i="3"/>
  <c r="AX264" i="3"/>
  <c r="AX265" i="3"/>
  <c r="AX266" i="3"/>
  <c r="AX267" i="3"/>
  <c r="AX268" i="3"/>
  <c r="AX269" i="3"/>
  <c r="AX270" i="3"/>
  <c r="AX271" i="3"/>
  <c r="AX272" i="3"/>
  <c r="AX273" i="3"/>
  <c r="AX274" i="3"/>
  <c r="AX275" i="3"/>
  <c r="AX276" i="3"/>
  <c r="AX277" i="3"/>
  <c r="AX278" i="3"/>
  <c r="AX279" i="3"/>
  <c r="AX280" i="3"/>
  <c r="AX281" i="3"/>
  <c r="AX282" i="3"/>
  <c r="AX283" i="3"/>
  <c r="AX284" i="3"/>
  <c r="AX285" i="3"/>
  <c r="AX286" i="3"/>
  <c r="AX287" i="3"/>
  <c r="AX288" i="3"/>
  <c r="AX289" i="3"/>
  <c r="AX290" i="3"/>
  <c r="AC56" i="10" l="1"/>
  <c r="AC57" i="10" s="1"/>
  <c r="AC58" i="10" s="1"/>
  <c r="AC59" i="10" s="1"/>
  <c r="AC60" i="10" s="1"/>
  <c r="AC61" i="10" s="1"/>
  <c r="AC62" i="10" s="1"/>
  <c r="AC63" i="10" s="1"/>
  <c r="AC64" i="10" s="1"/>
  <c r="AC65" i="10" s="1"/>
  <c r="AC66" i="10" s="1"/>
  <c r="AC67" i="10" s="1"/>
  <c r="AC68" i="10" s="1"/>
  <c r="AC69" i="10" s="1"/>
  <c r="AC70" i="10" s="1"/>
  <c r="AC71" i="10" s="1"/>
  <c r="AC72" i="10" s="1"/>
  <c r="AC73" i="10" s="1"/>
  <c r="AC74" i="10" s="1"/>
  <c r="AC75" i="10" s="1"/>
  <c r="AC76" i="10" s="1"/>
  <c r="AC77" i="10" s="1"/>
  <c r="AC78" i="10" s="1"/>
  <c r="AC79" i="10" s="1"/>
  <c r="AC80" i="10" s="1"/>
  <c r="AC81" i="10" s="1"/>
  <c r="AC82" i="10" s="1"/>
  <c r="AC83" i="10" s="1"/>
  <c r="AC84" i="10" s="1"/>
  <c r="AC85" i="10" s="1"/>
  <c r="AC86" i="10" s="1"/>
  <c r="AC87" i="10" s="1"/>
  <c r="AC88" i="10" s="1"/>
  <c r="AC89" i="10" s="1"/>
  <c r="AC90" i="10" s="1"/>
  <c r="AC91" i="10" s="1"/>
  <c r="AC92" i="10" s="1"/>
  <c r="AC93" i="10" s="1"/>
  <c r="AC94" i="10" s="1"/>
  <c r="AC95" i="10" s="1"/>
  <c r="AC96" i="10" s="1"/>
  <c r="AC97" i="10" s="1"/>
  <c r="AC98" i="10" s="1"/>
  <c r="AC99" i="10" s="1"/>
  <c r="AC100" i="10" s="1"/>
  <c r="AC101" i="10" s="1"/>
  <c r="AC102" i="10" s="1"/>
  <c r="AC103" i="10" s="1"/>
  <c r="AC104" i="10" s="1"/>
  <c r="AC105" i="10" s="1"/>
  <c r="AC106" i="10" s="1"/>
  <c r="AC107" i="10" s="1"/>
  <c r="AC108" i="10" s="1"/>
  <c r="AC109" i="10" s="1"/>
  <c r="AC110" i="10" s="1"/>
  <c r="AC111" i="10" s="1"/>
  <c r="AC112" i="10" s="1"/>
  <c r="AC113" i="10" s="1"/>
  <c r="AC114" i="10" s="1"/>
  <c r="AC115" i="10" s="1"/>
  <c r="AC116" i="10" s="1"/>
  <c r="AC117" i="10" s="1"/>
  <c r="AC118" i="10" s="1"/>
  <c r="AC119" i="10" s="1"/>
  <c r="AC120" i="10" s="1"/>
  <c r="AC121" i="10" s="1"/>
  <c r="AC122" i="10" s="1"/>
  <c r="AC123" i="10" s="1"/>
  <c r="AC124" i="10" s="1"/>
  <c r="AC125" i="10" s="1"/>
  <c r="AC126" i="10" s="1"/>
  <c r="AC127" i="10" s="1"/>
  <c r="AC128" i="10" s="1"/>
  <c r="AC129" i="10" s="1"/>
  <c r="AC130" i="10" s="1"/>
  <c r="AC131" i="10" s="1"/>
  <c r="AC132" i="10" s="1"/>
  <c r="AC133" i="10" s="1"/>
  <c r="AC134" i="10" s="1"/>
  <c r="AC135" i="10" s="1"/>
  <c r="AC136" i="10" s="1"/>
  <c r="AC137" i="10" s="1"/>
  <c r="AW6" i="3"/>
  <c r="AV5" i="3"/>
  <c r="AC138" i="10" l="1"/>
  <c r="AC139" i="10" s="1"/>
  <c r="AC140" i="10" s="1"/>
  <c r="AC141" i="10" s="1"/>
  <c r="AC142" i="10" s="1"/>
  <c r="AC143" i="10" s="1"/>
  <c r="AC144" i="10" s="1"/>
  <c r="AC145" i="10" s="1"/>
  <c r="AC146" i="10" s="1"/>
  <c r="AC147" i="10" s="1"/>
  <c r="AC148" i="10" s="1"/>
  <c r="AC149" i="10" s="1"/>
  <c r="AC150" i="10" s="1"/>
  <c r="AC151" i="10" s="1"/>
  <c r="AC152" i="10" s="1"/>
  <c r="AC153" i="10" s="1"/>
  <c r="AC154" i="10" s="1"/>
  <c r="AC155" i="10" s="1"/>
  <c r="AC156" i="10" s="1"/>
  <c r="AC157" i="10" s="1"/>
  <c r="AC158" i="10" s="1"/>
  <c r="AC159" i="10" s="1"/>
  <c r="AC160" i="10" s="1"/>
  <c r="AC161" i="10" s="1"/>
  <c r="AC162" i="10" s="1"/>
  <c r="AC163" i="10" s="1"/>
  <c r="AC164" i="10" s="1"/>
  <c r="AC165" i="10" s="1"/>
  <c r="AC166" i="10" s="1"/>
  <c r="AC167" i="10" s="1"/>
  <c r="AC168" i="10" s="1"/>
  <c r="AC169" i="10" s="1"/>
  <c r="AC170" i="10" s="1"/>
  <c r="AC171" i="10" s="1"/>
  <c r="AC172" i="10" s="1"/>
  <c r="AC173" i="10" s="1"/>
  <c r="AC174" i="10" s="1"/>
  <c r="AC175" i="10" s="1"/>
  <c r="AC176" i="10" s="1"/>
  <c r="AC177" i="10" s="1"/>
  <c r="AC178" i="10" s="1"/>
  <c r="AC179" i="10" s="1"/>
  <c r="AC180" i="10" s="1"/>
  <c r="AC181" i="10" s="1"/>
  <c r="AC182" i="10" s="1"/>
  <c r="AC183" i="10" s="1"/>
  <c r="AC184" i="10" s="1"/>
  <c r="AC185" i="10" s="1"/>
  <c r="AC186" i="10" s="1"/>
  <c r="AC187" i="10" s="1"/>
  <c r="AC188" i="10" s="1"/>
  <c r="AC189" i="10" s="1"/>
  <c r="AC190" i="10" s="1"/>
  <c r="AC191" i="10" s="1"/>
  <c r="AW250" i="3"/>
  <c r="AW258" i="3"/>
  <c r="AW264" i="3"/>
  <c r="AW274" i="3"/>
  <c r="AW28" i="3"/>
  <c r="AW41" i="3"/>
  <c r="AW67" i="3"/>
  <c r="AW76" i="3"/>
  <c r="AW77" i="3"/>
  <c r="AW88" i="3"/>
  <c r="AW89" i="3"/>
  <c r="AW120" i="3"/>
  <c r="AW124" i="3"/>
  <c r="AW158" i="3"/>
  <c r="AW174" i="3"/>
  <c r="AW178" i="3"/>
  <c r="AW181" i="3"/>
  <c r="AW201" i="3"/>
  <c r="AW231" i="3"/>
  <c r="AW256" i="3" l="1"/>
  <c r="AW261" i="3"/>
  <c r="AW283" i="3"/>
  <c r="AW286" i="3"/>
  <c r="AW290" i="3"/>
  <c r="AW36" i="3" l="1"/>
  <c r="AW40" i="3"/>
  <c r="AW42" i="3"/>
  <c r="AW49" i="3"/>
  <c r="AW55" i="3"/>
  <c r="AW56" i="3"/>
  <c r="AW57" i="3"/>
  <c r="AW59" i="3"/>
  <c r="AW63" i="3"/>
  <c r="AW65" i="3"/>
  <c r="AW66" i="3"/>
  <c r="AW74" i="3"/>
  <c r="AW75" i="3"/>
  <c r="AW90" i="3"/>
  <c r="AW100" i="3"/>
  <c r="AW128" i="3"/>
  <c r="AW129" i="3"/>
  <c r="AW137" i="3"/>
  <c r="AW141" i="3"/>
  <c r="AW143" i="3"/>
  <c r="AW144" i="3"/>
  <c r="AW146" i="3"/>
  <c r="AW148" i="3"/>
  <c r="AW153" i="3"/>
  <c r="AW156" i="3"/>
  <c r="AW162" i="3"/>
  <c r="AW208" i="3"/>
  <c r="AW219" i="3"/>
  <c r="AW222" i="3"/>
  <c r="AW239" i="3"/>
  <c r="AW240" i="3"/>
  <c r="AW243" i="3"/>
  <c r="AW246" i="3"/>
  <c r="AW255" i="3"/>
  <c r="AW260" i="3"/>
  <c r="AW265" i="3"/>
  <c r="AW270" i="3"/>
  <c r="AW272" i="3"/>
  <c r="AW280" i="3"/>
  <c r="AW281" i="3"/>
  <c r="AW282" i="3"/>
  <c r="AW289" i="3"/>
  <c r="AW190" i="3"/>
  <c r="AW197" i="3"/>
  <c r="AW198" i="3"/>
  <c r="AW204" i="3"/>
  <c r="AW225" i="3"/>
  <c r="AW278" i="3"/>
  <c r="AW266" i="3"/>
  <c r="AW233" i="3"/>
  <c r="AW160" i="3"/>
  <c r="AW39" i="3"/>
  <c r="AW58" i="3"/>
  <c r="AW27" i="3"/>
  <c r="AW37" i="3"/>
  <c r="AW52" i="3"/>
  <c r="AW64" i="3"/>
  <c r="AW134" i="3"/>
  <c r="AW135" i="3"/>
  <c r="AW147" i="3"/>
  <c r="AW166" i="3"/>
  <c r="AW169" i="3"/>
  <c r="AW175" i="3"/>
  <c r="AW176" i="3"/>
  <c r="AW191" i="3"/>
  <c r="AW227" i="3"/>
  <c r="AW259" i="3"/>
  <c r="AW277" i="3"/>
  <c r="AW287" i="3"/>
  <c r="AW10" i="3"/>
  <c r="AW20" i="3"/>
  <c r="AW70" i="3"/>
  <c r="AW133" i="3"/>
  <c r="AW257" i="3"/>
  <c r="AW111" i="3"/>
  <c r="AW172" i="3"/>
  <c r="AW184" i="3"/>
  <c r="AW185" i="3"/>
  <c r="AW221" i="3"/>
  <c r="AW224" i="3"/>
  <c r="AW230" i="3"/>
  <c r="AW269" i="3"/>
  <c r="AW15" i="3"/>
  <c r="AW45" i="3"/>
  <c r="AW84" i="3"/>
  <c r="AW96" i="3"/>
  <c r="AW21" i="3"/>
  <c r="AW22" i="3"/>
  <c r="AW46" i="3"/>
  <c r="AW51" i="3"/>
  <c r="AW92" i="3"/>
  <c r="AW95" i="3"/>
  <c r="AW97" i="3"/>
  <c r="AW113" i="3"/>
  <c r="AW118" i="3"/>
  <c r="AW131" i="3"/>
  <c r="AW154" i="3"/>
  <c r="AW155" i="3"/>
  <c r="AW163" i="3"/>
  <c r="AW164" i="3"/>
  <c r="AW182" i="3"/>
  <c r="AW194" i="3"/>
  <c r="AW214" i="3"/>
  <c r="AW228" i="3"/>
  <c r="AW245" i="3"/>
  <c r="AW268" i="3"/>
  <c r="AW288" i="3"/>
  <c r="AW13" i="3"/>
  <c r="AW50" i="3"/>
  <c r="AW85" i="3"/>
  <c r="AW91" i="3"/>
  <c r="AW105" i="3"/>
  <c r="AW157" i="3"/>
  <c r="AW183" i="3"/>
  <c r="AW186" i="3"/>
  <c r="AW203" i="3"/>
  <c r="AW213" i="3"/>
  <c r="AW31" i="3"/>
  <c r="AW53" i="3"/>
  <c r="AW73" i="3"/>
  <c r="AW83" i="3"/>
  <c r="AW107" i="3"/>
  <c r="AW109" i="3"/>
  <c r="AW110" i="3"/>
  <c r="AW125" i="3"/>
  <c r="AW138" i="3"/>
  <c r="AW217" i="3"/>
  <c r="AW275" i="3"/>
  <c r="AW23" i="3"/>
  <c r="AW54" i="3"/>
  <c r="AW60" i="3"/>
  <c r="AW78" i="3"/>
  <c r="AW82" i="3"/>
  <c r="AW87" i="3"/>
  <c r="AW108" i="3"/>
  <c r="AW112" i="3"/>
  <c r="AW114" i="3"/>
  <c r="AW116" i="3"/>
  <c r="AW117" i="3"/>
  <c r="AW161" i="3"/>
  <c r="AW193" i="3"/>
  <c r="AW234" i="3"/>
  <c r="AW236" i="3"/>
  <c r="AW244" i="3"/>
  <c r="AW254" i="3"/>
  <c r="AW271" i="3"/>
  <c r="AW200" i="3"/>
  <c r="AW98" i="3"/>
  <c r="AW119" i="3"/>
  <c r="AW165" i="3"/>
  <c r="AW177" i="3"/>
  <c r="AW205" i="3"/>
  <c r="AW210" i="3"/>
  <c r="AW232" i="3"/>
  <c r="AW14" i="3"/>
  <c r="AW17" i="3"/>
  <c r="AW30" i="3"/>
  <c r="AW62" i="3"/>
  <c r="AW94" i="3"/>
  <c r="AW115" i="3"/>
  <c r="AW121" i="3"/>
  <c r="AW122" i="3"/>
  <c r="AW123" i="3"/>
  <c r="AW126" i="3"/>
  <c r="AW127" i="3"/>
  <c r="AW132" i="3"/>
  <c r="AW151" i="3"/>
  <c r="AW167" i="3"/>
  <c r="AW171" i="3"/>
  <c r="AW173" i="3"/>
  <c r="AW187" i="3"/>
  <c r="AW188" i="3"/>
  <c r="AW192" i="3"/>
  <c r="AW206" i="3"/>
  <c r="AW209" i="3"/>
  <c r="AW218" i="3"/>
  <c r="AW237" i="3"/>
  <c r="AW249" i="3"/>
  <c r="AW252" i="3"/>
  <c r="AW262" i="3"/>
  <c r="AW267" i="3"/>
  <c r="AW9" i="3"/>
  <c r="AW18" i="3"/>
  <c r="AW19" i="3"/>
  <c r="AW24" i="3"/>
  <c r="AW26" i="3"/>
  <c r="AW33" i="3"/>
  <c r="AW43" i="3"/>
  <c r="AW61" i="3"/>
  <c r="AW69" i="3"/>
  <c r="AW80" i="3"/>
  <c r="AW81" i="3"/>
  <c r="AW99" i="3"/>
  <c r="AW102" i="3"/>
  <c r="AW104" i="3"/>
  <c r="AW106" i="3"/>
  <c r="AW130" i="3"/>
  <c r="AW139" i="3"/>
  <c r="AW140" i="3"/>
  <c r="AW142" i="3"/>
  <c r="AW145" i="3"/>
  <c r="AW149" i="3"/>
  <c r="AW150" i="3"/>
  <c r="AW170" i="3"/>
  <c r="AW180" i="3"/>
  <c r="AW196" i="3"/>
  <c r="AW207" i="3"/>
  <c r="AW216" i="3"/>
  <c r="AW251" i="3"/>
  <c r="AW263" i="3"/>
  <c r="AW273" i="3"/>
  <c r="AW276" i="3"/>
  <c r="AW285" i="3"/>
  <c r="AW8" i="3"/>
  <c r="AW71" i="3"/>
  <c r="AW101" i="3"/>
  <c r="AW103" i="3"/>
  <c r="AW168" i="3"/>
  <c r="AW179" i="3"/>
  <c r="AW189" i="3"/>
  <c r="AW195" i="3"/>
  <c r="AW279" i="3"/>
  <c r="AW32" i="3"/>
  <c r="AW68" i="3"/>
  <c r="AW211" i="3"/>
  <c r="AW241" i="3"/>
  <c r="AW284" i="3"/>
  <c r="AW47" i="3"/>
  <c r="AW48" i="3"/>
  <c r="AW72" i="3"/>
  <c r="AW11" i="3"/>
  <c r="AW25" i="3"/>
  <c r="AW29" i="3"/>
  <c r="AW35" i="3"/>
  <c r="AW38" i="3"/>
  <c r="AW44" i="3"/>
  <c r="AW79" i="3"/>
  <c r="AW86" i="3"/>
  <c r="AW93" i="3"/>
  <c r="AW136" i="3"/>
  <c r="AW152" i="3"/>
  <c r="AW159" i="3"/>
  <c r="AW199" i="3"/>
  <c r="AW202" i="3"/>
  <c r="AW212" i="3"/>
  <c r="AW215" i="3"/>
  <c r="AW220" i="3"/>
  <c r="AW223" i="3"/>
  <c r="AW226" i="3"/>
  <c r="AW229" i="3"/>
  <c r="AW235" i="3"/>
  <c r="AW238" i="3"/>
  <c r="AW242" i="3"/>
  <c r="AW247" i="3"/>
  <c r="AW248" i="3"/>
  <c r="AW253" i="3"/>
  <c r="AX5" i="3" l="1"/>
  <c r="AE4" i="3" l="1"/>
  <c r="AP4" i="3"/>
  <c r="BC4" i="3"/>
  <c r="BI4" i="3"/>
  <c r="BK4" i="3"/>
  <c r="BX4" i="3"/>
  <c r="CC4" i="3"/>
  <c r="CD4" i="3"/>
  <c r="CE4" i="3"/>
  <c r="CW4" i="3"/>
  <c r="G4" i="3"/>
  <c r="H4" i="3"/>
  <c r="D4" i="3"/>
  <c r="E4" i="3"/>
  <c r="BA6" i="3" l="1"/>
  <c r="BA7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BA63" i="3"/>
  <c r="BA64" i="3"/>
  <c r="BA65" i="3"/>
  <c r="BA66" i="3"/>
  <c r="BA67" i="3"/>
  <c r="BA68" i="3"/>
  <c r="BA69" i="3"/>
  <c r="BA70" i="3"/>
  <c r="BA71" i="3"/>
  <c r="BA72" i="3"/>
  <c r="BA73" i="3"/>
  <c r="BA74" i="3"/>
  <c r="BA75" i="3"/>
  <c r="BA76" i="3"/>
  <c r="BA77" i="3"/>
  <c r="BA78" i="3"/>
  <c r="BA79" i="3"/>
  <c r="BA80" i="3"/>
  <c r="BA81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A94" i="3"/>
  <c r="BA95" i="3"/>
  <c r="BA96" i="3"/>
  <c r="BA97" i="3"/>
  <c r="BA98" i="3"/>
  <c r="BA99" i="3"/>
  <c r="BA100" i="3"/>
  <c r="BA101" i="3"/>
  <c r="BA102" i="3"/>
  <c r="BA103" i="3"/>
  <c r="BA104" i="3"/>
  <c r="BA105" i="3"/>
  <c r="BA106" i="3"/>
  <c r="BA107" i="3"/>
  <c r="BA108" i="3"/>
  <c r="BA109" i="3"/>
  <c r="BA110" i="3"/>
  <c r="BA111" i="3"/>
  <c r="BA112" i="3"/>
  <c r="BA113" i="3"/>
  <c r="BA114" i="3"/>
  <c r="BA115" i="3"/>
  <c r="BA116" i="3"/>
  <c r="BA117" i="3"/>
  <c r="BA118" i="3"/>
  <c r="BA119" i="3"/>
  <c r="BA120" i="3"/>
  <c r="BA121" i="3"/>
  <c r="BA122" i="3"/>
  <c r="BA123" i="3"/>
  <c r="BA124" i="3"/>
  <c r="BA125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BA149" i="3"/>
  <c r="BA150" i="3"/>
  <c r="BA151" i="3"/>
  <c r="BA152" i="3"/>
  <c r="BA153" i="3"/>
  <c r="BA154" i="3"/>
  <c r="BA155" i="3"/>
  <c r="BA156" i="3"/>
  <c r="BA157" i="3"/>
  <c r="BA158" i="3"/>
  <c r="BA159" i="3"/>
  <c r="BA160" i="3"/>
  <c r="BA161" i="3"/>
  <c r="BA162" i="3"/>
  <c r="BA163" i="3"/>
  <c r="BA164" i="3"/>
  <c r="BA165" i="3"/>
  <c r="BA166" i="3"/>
  <c r="BA167" i="3"/>
  <c r="BA168" i="3"/>
  <c r="BA169" i="3"/>
  <c r="BA170" i="3"/>
  <c r="BA171" i="3"/>
  <c r="BA172" i="3"/>
  <c r="BA173" i="3"/>
  <c r="BA174" i="3"/>
  <c r="BA175" i="3"/>
  <c r="BA176" i="3"/>
  <c r="BA177" i="3"/>
  <c r="BA178" i="3"/>
  <c r="BA179" i="3"/>
  <c r="BA180" i="3"/>
  <c r="BA181" i="3"/>
  <c r="BA182" i="3"/>
  <c r="BA183" i="3"/>
  <c r="BA184" i="3"/>
  <c r="BA185" i="3"/>
  <c r="BA186" i="3"/>
  <c r="BA187" i="3"/>
  <c r="BA188" i="3"/>
  <c r="BA189" i="3"/>
  <c r="BA190" i="3"/>
  <c r="BA191" i="3"/>
  <c r="BA192" i="3"/>
  <c r="BA193" i="3"/>
  <c r="BA194" i="3"/>
  <c r="BA195" i="3"/>
  <c r="BA196" i="3"/>
  <c r="BA197" i="3"/>
  <c r="BA198" i="3"/>
  <c r="BA199" i="3"/>
  <c r="BA200" i="3"/>
  <c r="BA201" i="3"/>
  <c r="BA202" i="3"/>
  <c r="BA203" i="3"/>
  <c r="BA204" i="3"/>
  <c r="BA205" i="3"/>
  <c r="BA206" i="3"/>
  <c r="BA207" i="3"/>
  <c r="BA208" i="3"/>
  <c r="BA209" i="3"/>
  <c r="BA210" i="3"/>
  <c r="BA211" i="3"/>
  <c r="BA212" i="3"/>
  <c r="BA213" i="3"/>
  <c r="BA214" i="3"/>
  <c r="BA215" i="3"/>
  <c r="BA216" i="3"/>
  <c r="BA217" i="3"/>
  <c r="BA218" i="3"/>
  <c r="BA219" i="3"/>
  <c r="BA220" i="3"/>
  <c r="BA221" i="3"/>
  <c r="BA222" i="3"/>
  <c r="BA223" i="3"/>
  <c r="BA224" i="3"/>
  <c r="BA225" i="3"/>
  <c r="BA226" i="3"/>
  <c r="BA227" i="3"/>
  <c r="BA228" i="3"/>
  <c r="BA229" i="3"/>
  <c r="BA230" i="3"/>
  <c r="BA231" i="3"/>
  <c r="BA232" i="3"/>
  <c r="BA233" i="3"/>
  <c r="BA234" i="3"/>
  <c r="BA235" i="3"/>
  <c r="BA236" i="3"/>
  <c r="BA237" i="3"/>
  <c r="BA238" i="3"/>
  <c r="BA239" i="3"/>
  <c r="BA240" i="3"/>
  <c r="BA241" i="3"/>
  <c r="BA242" i="3"/>
  <c r="BA243" i="3"/>
  <c r="BA244" i="3"/>
  <c r="BA245" i="3"/>
  <c r="BA246" i="3"/>
  <c r="BA247" i="3"/>
  <c r="BA248" i="3"/>
  <c r="BA249" i="3"/>
  <c r="BA250" i="3"/>
  <c r="BA251" i="3"/>
  <c r="BA252" i="3"/>
  <c r="BA253" i="3"/>
  <c r="BA254" i="3"/>
  <c r="BA255" i="3"/>
  <c r="BA256" i="3"/>
  <c r="BA257" i="3"/>
  <c r="BA258" i="3"/>
  <c r="BA259" i="3"/>
  <c r="BA260" i="3"/>
  <c r="BA261" i="3"/>
  <c r="BA262" i="3"/>
  <c r="BA263" i="3"/>
  <c r="BA264" i="3"/>
  <c r="BA265" i="3"/>
  <c r="BA266" i="3"/>
  <c r="BA267" i="3"/>
  <c r="BA268" i="3"/>
  <c r="BA269" i="3"/>
  <c r="BA270" i="3"/>
  <c r="BA271" i="3"/>
  <c r="BA272" i="3"/>
  <c r="BA273" i="3"/>
  <c r="BA274" i="3"/>
  <c r="BA275" i="3"/>
  <c r="BA276" i="3"/>
  <c r="BA277" i="3"/>
  <c r="BA278" i="3"/>
  <c r="BA279" i="3"/>
  <c r="BA280" i="3"/>
  <c r="BA281" i="3"/>
  <c r="BA282" i="3"/>
  <c r="BA283" i="3"/>
  <c r="BA284" i="3"/>
  <c r="BA285" i="3"/>
  <c r="BA286" i="3"/>
  <c r="BA287" i="3"/>
  <c r="BA288" i="3"/>
  <c r="BA289" i="3"/>
  <c r="BA290" i="3"/>
  <c r="BA5" i="3"/>
  <c r="BA4" i="3" l="1"/>
  <c r="AW16" i="3"/>
  <c r="AW34" i="3"/>
  <c r="K7" i="3"/>
  <c r="K5" i="3"/>
  <c r="AD2" i="10"/>
  <c r="AW5" i="3" s="1"/>
  <c r="AW12" i="3" l="1"/>
  <c r="AW7" i="3"/>
  <c r="AV12" i="3"/>
  <c r="K4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AV16" i="3" l="1"/>
  <c r="CX6" i="3"/>
  <c r="CX7" i="3"/>
  <c r="CX9" i="3"/>
  <c r="CX10" i="3"/>
  <c r="CX12" i="3"/>
  <c r="CX14" i="3"/>
  <c r="CX16" i="3"/>
  <c r="CX17" i="3"/>
  <c r="CX19" i="3"/>
  <c r="CX20" i="3"/>
  <c r="CX21" i="3"/>
  <c r="CX22" i="3"/>
  <c r="CX23" i="3"/>
  <c r="CX24" i="3"/>
  <c r="CX25" i="3"/>
  <c r="CX27" i="3"/>
  <c r="CX28" i="3"/>
  <c r="CX31" i="3"/>
  <c r="CX32" i="3"/>
  <c r="CX33" i="3"/>
  <c r="CX34" i="3"/>
  <c r="CX35" i="3"/>
  <c r="CX36" i="3"/>
  <c r="CX37" i="3"/>
  <c r="CX38" i="3"/>
  <c r="CX39" i="3"/>
  <c r="CX40" i="3"/>
  <c r="CX42" i="3"/>
  <c r="CX43" i="3"/>
  <c r="CX44" i="3"/>
  <c r="CX46" i="3"/>
  <c r="CX47" i="3"/>
  <c r="CX49" i="3"/>
  <c r="CX50" i="3"/>
  <c r="CX51" i="3"/>
  <c r="CX52" i="3"/>
  <c r="CX53" i="3"/>
  <c r="CX54" i="3"/>
  <c r="CX55" i="3"/>
  <c r="CX56" i="3"/>
  <c r="CX57" i="3"/>
  <c r="CX58" i="3"/>
  <c r="CX59" i="3"/>
  <c r="CX60" i="3"/>
  <c r="CX61" i="3"/>
  <c r="CX62" i="3"/>
  <c r="CX63" i="3"/>
  <c r="CX64" i="3"/>
  <c r="CX66" i="3"/>
  <c r="CX67" i="3"/>
  <c r="CX69" i="3"/>
  <c r="CX70" i="3"/>
  <c r="CX72" i="3"/>
  <c r="CX73" i="3"/>
  <c r="CX76" i="3"/>
  <c r="CX82" i="3"/>
  <c r="CX83" i="3"/>
  <c r="CX84" i="3"/>
  <c r="CX85" i="3"/>
  <c r="CX86" i="3"/>
  <c r="CX87" i="3"/>
  <c r="CX88" i="3"/>
  <c r="CX89" i="3"/>
  <c r="CX90" i="3"/>
  <c r="CX91" i="3"/>
  <c r="CX92" i="3"/>
  <c r="CX93" i="3"/>
  <c r="CX94" i="3"/>
  <c r="CX95" i="3"/>
  <c r="CX96" i="3"/>
  <c r="CX97" i="3"/>
  <c r="CX98" i="3"/>
  <c r="CX99" i="3"/>
  <c r="CX100" i="3"/>
  <c r="CX102" i="3"/>
  <c r="CX103" i="3"/>
  <c r="CX104" i="3"/>
  <c r="CX105" i="3"/>
  <c r="CX106" i="3"/>
  <c r="CX107" i="3"/>
  <c r="CX108" i="3"/>
  <c r="CX109" i="3"/>
  <c r="CX111" i="3"/>
  <c r="CX112" i="3"/>
  <c r="CX115" i="3"/>
  <c r="CX118" i="3"/>
  <c r="CX119" i="3"/>
  <c r="CX120" i="3"/>
  <c r="CX121" i="3"/>
  <c r="CX122" i="3"/>
  <c r="CX123" i="3"/>
  <c r="CX124" i="3"/>
  <c r="CX125" i="3"/>
  <c r="CX127" i="3"/>
  <c r="CX128" i="3"/>
  <c r="CX132" i="3"/>
  <c r="CX133" i="3"/>
  <c r="CX134" i="3"/>
  <c r="CX136" i="3"/>
  <c r="CX137" i="3"/>
  <c r="CX138" i="3"/>
  <c r="CX141" i="3"/>
  <c r="CX144" i="3"/>
  <c r="CX146" i="3"/>
  <c r="CX148" i="3"/>
  <c r="CX149" i="3"/>
  <c r="CX150" i="3"/>
  <c r="CX151" i="3"/>
  <c r="CX152" i="3"/>
  <c r="CX153" i="3"/>
  <c r="CX155" i="3"/>
  <c r="CX156" i="3"/>
  <c r="CX157" i="3"/>
  <c r="CX158" i="3"/>
  <c r="CX159" i="3"/>
  <c r="CX160" i="3"/>
  <c r="CX161" i="3"/>
  <c r="CX162" i="3"/>
  <c r="CX163" i="3"/>
  <c r="CX164" i="3"/>
  <c r="CX165" i="3"/>
  <c r="CX166" i="3"/>
  <c r="CX167" i="3"/>
  <c r="CX168" i="3"/>
  <c r="CX169" i="3"/>
  <c r="CX171" i="3"/>
  <c r="CX173" i="3"/>
  <c r="CX174" i="3"/>
  <c r="CX175" i="3"/>
  <c r="CX176" i="3"/>
  <c r="CX177" i="3"/>
  <c r="CX179" i="3"/>
  <c r="CX182" i="3"/>
  <c r="CX183" i="3"/>
  <c r="CX184" i="3"/>
  <c r="CX185" i="3"/>
  <c r="CX188" i="3"/>
  <c r="CX189" i="3"/>
  <c r="CX191" i="3"/>
  <c r="CX192" i="3"/>
  <c r="CX193" i="3"/>
  <c r="CX195" i="3"/>
  <c r="CX196" i="3"/>
  <c r="CX198" i="3"/>
  <c r="CX199" i="3"/>
  <c r="CX201" i="3"/>
  <c r="CX202" i="3"/>
  <c r="CX203" i="3"/>
  <c r="CX204" i="3"/>
  <c r="CX205" i="3"/>
  <c r="CX206" i="3"/>
  <c r="CX207" i="3"/>
  <c r="CX208" i="3"/>
  <c r="CX209" i="3"/>
  <c r="CX211" i="3"/>
  <c r="CX212" i="3"/>
  <c r="CX213" i="3"/>
  <c r="CX216" i="3"/>
  <c r="CX217" i="3"/>
  <c r="CX218" i="3"/>
  <c r="CX219" i="3"/>
  <c r="CX220" i="3"/>
  <c r="CX221" i="3"/>
  <c r="CX222" i="3"/>
  <c r="CX230" i="3"/>
  <c r="CX231" i="3"/>
  <c r="CX232" i="3"/>
  <c r="CX234" i="3"/>
  <c r="CX235" i="3"/>
  <c r="CX237" i="3"/>
  <c r="CX239" i="3"/>
  <c r="CX240" i="3"/>
  <c r="CX241" i="3"/>
  <c r="CX243" i="3"/>
  <c r="CX244" i="3"/>
  <c r="CX245" i="3"/>
  <c r="CX246" i="3"/>
  <c r="CX247" i="3"/>
  <c r="CX249" i="3"/>
  <c r="CX250" i="3"/>
  <c r="CX251" i="3"/>
  <c r="CX253" i="3"/>
  <c r="CX255" i="3"/>
  <c r="CX256" i="3"/>
  <c r="CX257" i="3"/>
  <c r="CX258" i="3"/>
  <c r="CX259" i="3"/>
  <c r="CX260" i="3"/>
  <c r="CX261" i="3"/>
  <c r="CX262" i="3"/>
  <c r="CX263" i="3"/>
  <c r="CX264" i="3"/>
  <c r="CX265" i="3"/>
  <c r="CX266" i="3"/>
  <c r="CX267" i="3"/>
  <c r="CX268" i="3"/>
  <c r="CX269" i="3"/>
  <c r="CX270" i="3"/>
  <c r="CX271" i="3"/>
  <c r="CX272" i="3"/>
  <c r="CX273" i="3"/>
  <c r="CX274" i="3"/>
  <c r="CX276" i="3"/>
  <c r="CX277" i="3"/>
  <c r="CX278" i="3"/>
  <c r="CX279" i="3"/>
  <c r="CX281" i="3"/>
  <c r="CX283" i="3"/>
  <c r="CX284" i="3"/>
  <c r="CX285" i="3"/>
  <c r="CX287" i="3"/>
  <c r="CX288" i="3"/>
  <c r="CX290" i="3"/>
  <c r="AV34" i="3" l="1"/>
  <c r="I18" i="3"/>
  <c r="F29" i="3"/>
  <c r="F15" i="3"/>
  <c r="F16" i="3"/>
  <c r="F17" i="3"/>
  <c r="F5" i="3"/>
  <c r="F6" i="3"/>
  <c r="F7" i="3"/>
  <c r="F8" i="3"/>
  <c r="F9" i="3"/>
  <c r="F10" i="3"/>
  <c r="F11" i="3"/>
  <c r="F12" i="3"/>
  <c r="F13" i="3"/>
  <c r="F14" i="3"/>
  <c r="F19" i="3"/>
  <c r="F20" i="3"/>
  <c r="F21" i="3"/>
  <c r="F22" i="3"/>
  <c r="F23" i="3"/>
  <c r="F24" i="3"/>
  <c r="F25" i="3"/>
  <c r="F26" i="3"/>
  <c r="F27" i="3"/>
  <c r="F28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AV36" i="3" l="1"/>
  <c r="F4" i="3"/>
  <c r="AV40" i="3" l="1"/>
  <c r="P290" i="3"/>
  <c r="BY289" i="3"/>
  <c r="P289" i="3"/>
  <c r="BY288" i="3"/>
  <c r="P288" i="3"/>
  <c r="BY287" i="3"/>
  <c r="P287" i="3"/>
  <c r="P286" i="3"/>
  <c r="BY285" i="3"/>
  <c r="P285" i="3"/>
  <c r="P284" i="3"/>
  <c r="BY283" i="3"/>
  <c r="P283" i="3"/>
  <c r="P282" i="3"/>
  <c r="BY281" i="3"/>
  <c r="P281" i="3"/>
  <c r="P280" i="3"/>
  <c r="BY279" i="3"/>
  <c r="P279" i="3"/>
  <c r="P278" i="3"/>
  <c r="BY277" i="3"/>
  <c r="P277" i="3"/>
  <c r="BY276" i="3"/>
  <c r="P276" i="3"/>
  <c r="BY275" i="3"/>
  <c r="P275" i="3"/>
  <c r="BY274" i="3"/>
  <c r="P274" i="3"/>
  <c r="BY273" i="3"/>
  <c r="P273" i="3"/>
  <c r="P272" i="3"/>
  <c r="BY271" i="3"/>
  <c r="P271" i="3"/>
  <c r="BY270" i="3"/>
  <c r="P270" i="3"/>
  <c r="BY269" i="3"/>
  <c r="P269" i="3"/>
  <c r="BY268" i="3"/>
  <c r="P268" i="3"/>
  <c r="BY267" i="3"/>
  <c r="P267" i="3"/>
  <c r="P266" i="3"/>
  <c r="BY265" i="3"/>
  <c r="P265" i="3"/>
  <c r="P264" i="3"/>
  <c r="BY263" i="3"/>
  <c r="P263" i="3"/>
  <c r="P262" i="3"/>
  <c r="BY261" i="3"/>
  <c r="P261" i="3"/>
  <c r="BY260" i="3"/>
  <c r="P260" i="3"/>
  <c r="BY259" i="3"/>
  <c r="P259" i="3"/>
  <c r="BY258" i="3"/>
  <c r="P258" i="3"/>
  <c r="BY257" i="3"/>
  <c r="P257" i="3"/>
  <c r="P256" i="3"/>
  <c r="BY255" i="3"/>
  <c r="P255" i="3"/>
  <c r="BY254" i="3"/>
  <c r="P254" i="3"/>
  <c r="BY253" i="3"/>
  <c r="P253" i="3"/>
  <c r="BY252" i="3"/>
  <c r="P252" i="3"/>
  <c r="BY251" i="3"/>
  <c r="P251" i="3"/>
  <c r="P250" i="3"/>
  <c r="BY249" i="3"/>
  <c r="P249" i="3"/>
  <c r="P248" i="3"/>
  <c r="BY247" i="3"/>
  <c r="P247" i="3"/>
  <c r="BY246" i="3"/>
  <c r="P246" i="3"/>
  <c r="BY245" i="3"/>
  <c r="P245" i="3"/>
  <c r="BY244" i="3"/>
  <c r="P244" i="3"/>
  <c r="P243" i="3"/>
  <c r="BY242" i="3"/>
  <c r="P242" i="3"/>
  <c r="BY241" i="3"/>
  <c r="P241" i="3"/>
  <c r="BY240" i="3"/>
  <c r="P240" i="3"/>
  <c r="BY239" i="3"/>
  <c r="P239" i="3"/>
  <c r="BY238" i="3"/>
  <c r="P238" i="3"/>
  <c r="P237" i="3"/>
  <c r="P236" i="3"/>
  <c r="BY235" i="3"/>
  <c r="P235" i="3"/>
  <c r="BY234" i="3"/>
  <c r="P234" i="3"/>
  <c r="BY233" i="3"/>
  <c r="P233" i="3"/>
  <c r="BY232" i="3"/>
  <c r="P232" i="3"/>
  <c r="BY231" i="3"/>
  <c r="P231" i="3"/>
  <c r="P230" i="3"/>
  <c r="BY229" i="3"/>
  <c r="P229" i="3"/>
  <c r="BY228" i="3"/>
  <c r="P228" i="3"/>
  <c r="P227" i="3"/>
  <c r="BY226" i="3"/>
  <c r="P226" i="3"/>
  <c r="BY225" i="3"/>
  <c r="P225" i="3"/>
  <c r="BY224" i="3"/>
  <c r="P224" i="3"/>
  <c r="P223" i="3"/>
  <c r="BY222" i="3"/>
  <c r="P222" i="3"/>
  <c r="BY221" i="3"/>
  <c r="P221" i="3"/>
  <c r="P220" i="3"/>
  <c r="BY219" i="3"/>
  <c r="P219" i="3"/>
  <c r="BY218" i="3"/>
  <c r="P218" i="3"/>
  <c r="BY217" i="3"/>
  <c r="P217" i="3"/>
  <c r="P216" i="3"/>
  <c r="BY215" i="3"/>
  <c r="P215" i="3"/>
  <c r="BY214" i="3"/>
  <c r="P214" i="3"/>
  <c r="BY213" i="3"/>
  <c r="P213" i="3"/>
  <c r="BY212" i="3"/>
  <c r="P212" i="3"/>
  <c r="BY211" i="3"/>
  <c r="P211" i="3"/>
  <c r="BY210" i="3"/>
  <c r="P210" i="3"/>
  <c r="P209" i="3"/>
  <c r="BY208" i="3"/>
  <c r="P208" i="3"/>
  <c r="BY207" i="3"/>
  <c r="P207" i="3"/>
  <c r="BY206" i="3"/>
  <c r="P206" i="3"/>
  <c r="BY205" i="3"/>
  <c r="P205" i="3"/>
  <c r="BY204" i="3"/>
  <c r="P204" i="3"/>
  <c r="BY203" i="3"/>
  <c r="P203" i="3"/>
  <c r="BY202" i="3"/>
  <c r="P202" i="3"/>
  <c r="BY201" i="3"/>
  <c r="P201" i="3"/>
  <c r="BY200" i="3"/>
  <c r="P200" i="3"/>
  <c r="BY199" i="3"/>
  <c r="P199" i="3"/>
  <c r="BY198" i="3"/>
  <c r="P198" i="3"/>
  <c r="BY197" i="3"/>
  <c r="P197" i="3"/>
  <c r="BY196" i="3"/>
  <c r="P196" i="3"/>
  <c r="P195" i="3"/>
  <c r="BY194" i="3"/>
  <c r="P194" i="3"/>
  <c r="P193" i="3"/>
  <c r="BY192" i="3"/>
  <c r="P192" i="3"/>
  <c r="BY191" i="3"/>
  <c r="P191" i="3"/>
  <c r="BY190" i="3"/>
  <c r="P190" i="3"/>
  <c r="BY189" i="3"/>
  <c r="P189" i="3"/>
  <c r="BY188" i="3"/>
  <c r="P188" i="3"/>
  <c r="BY187" i="3"/>
  <c r="P187" i="3"/>
  <c r="BY186" i="3"/>
  <c r="P186" i="3"/>
  <c r="P185" i="3"/>
  <c r="P184" i="3"/>
  <c r="BY183" i="3"/>
  <c r="P183" i="3"/>
  <c r="BY182" i="3"/>
  <c r="P182" i="3"/>
  <c r="BY181" i="3"/>
  <c r="P181" i="3"/>
  <c r="BY180" i="3"/>
  <c r="P180" i="3"/>
  <c r="P179" i="3"/>
  <c r="BY178" i="3"/>
  <c r="P178" i="3"/>
  <c r="P177" i="3"/>
  <c r="BY176" i="3"/>
  <c r="P176" i="3"/>
  <c r="P175" i="3"/>
  <c r="BY174" i="3"/>
  <c r="P174" i="3"/>
  <c r="P173" i="3"/>
  <c r="P172" i="3"/>
  <c r="BY171" i="3"/>
  <c r="P171" i="3"/>
  <c r="BY170" i="3"/>
  <c r="P170" i="3"/>
  <c r="BY169" i="3"/>
  <c r="P169" i="3"/>
  <c r="BY168" i="3"/>
  <c r="P168" i="3"/>
  <c r="BY167" i="3"/>
  <c r="P167" i="3"/>
  <c r="BY166" i="3"/>
  <c r="P166" i="3"/>
  <c r="BY165" i="3"/>
  <c r="P165" i="3"/>
  <c r="BY164" i="3"/>
  <c r="P164" i="3"/>
  <c r="P163" i="3"/>
  <c r="BY162" i="3"/>
  <c r="P162" i="3"/>
  <c r="BY161" i="3"/>
  <c r="P161" i="3"/>
  <c r="P160" i="3"/>
  <c r="BY159" i="3"/>
  <c r="P159" i="3"/>
  <c r="BY158" i="3"/>
  <c r="P158" i="3"/>
  <c r="BY157" i="3"/>
  <c r="P157" i="3"/>
  <c r="BY156" i="3"/>
  <c r="P156" i="3"/>
  <c r="P155" i="3"/>
  <c r="BY154" i="3"/>
  <c r="P154" i="3"/>
  <c r="BY153" i="3"/>
  <c r="P153" i="3"/>
  <c r="P152" i="3"/>
  <c r="BY151" i="3"/>
  <c r="P151" i="3"/>
  <c r="BY150" i="3"/>
  <c r="P150" i="3"/>
  <c r="BY149" i="3"/>
  <c r="P149" i="3"/>
  <c r="BY148" i="3"/>
  <c r="P148" i="3"/>
  <c r="P147" i="3"/>
  <c r="BY146" i="3"/>
  <c r="P146" i="3"/>
  <c r="BY145" i="3"/>
  <c r="P145" i="3"/>
  <c r="BY144" i="3"/>
  <c r="P144" i="3"/>
  <c r="BY143" i="3"/>
  <c r="P143" i="3"/>
  <c r="BY142" i="3"/>
  <c r="P142" i="3"/>
  <c r="P141" i="3"/>
  <c r="BY140" i="3"/>
  <c r="P140" i="3"/>
  <c r="P139" i="3"/>
  <c r="BY138" i="3"/>
  <c r="P138" i="3"/>
  <c r="BY137" i="3"/>
  <c r="P137" i="3"/>
  <c r="BY136" i="3"/>
  <c r="P136" i="3"/>
  <c r="BY135" i="3"/>
  <c r="P135" i="3"/>
  <c r="BY134" i="3"/>
  <c r="P134" i="3"/>
  <c r="BY133" i="3"/>
  <c r="P133" i="3"/>
  <c r="BY132" i="3"/>
  <c r="P132" i="3"/>
  <c r="BY131" i="3"/>
  <c r="P131" i="3"/>
  <c r="P130" i="3"/>
  <c r="BY129" i="3"/>
  <c r="P129" i="3"/>
  <c r="BY128" i="3"/>
  <c r="P128" i="3"/>
  <c r="BY127" i="3"/>
  <c r="P127" i="3"/>
  <c r="BY126" i="3"/>
  <c r="P126" i="3"/>
  <c r="P125" i="3"/>
  <c r="BY124" i="3"/>
  <c r="P124" i="3"/>
  <c r="P123" i="3"/>
  <c r="BY122" i="3"/>
  <c r="P122" i="3"/>
  <c r="BY121" i="3"/>
  <c r="P121" i="3"/>
  <c r="BY120" i="3"/>
  <c r="P120" i="3"/>
  <c r="BY119" i="3"/>
  <c r="P119" i="3"/>
  <c r="BY118" i="3"/>
  <c r="P118" i="3"/>
  <c r="BY117" i="3"/>
  <c r="P117" i="3"/>
  <c r="BY116" i="3"/>
  <c r="P116" i="3"/>
  <c r="BY115" i="3"/>
  <c r="P115" i="3"/>
  <c r="P114" i="3"/>
  <c r="BY113" i="3"/>
  <c r="P113" i="3"/>
  <c r="BY112" i="3"/>
  <c r="P112" i="3"/>
  <c r="BY111" i="3"/>
  <c r="P111" i="3"/>
  <c r="BY110" i="3"/>
  <c r="P110" i="3"/>
  <c r="P109" i="3"/>
  <c r="BY108" i="3"/>
  <c r="P108" i="3"/>
  <c r="BY107" i="3"/>
  <c r="P107" i="3"/>
  <c r="BY106" i="3"/>
  <c r="P106" i="3"/>
  <c r="BY105" i="3"/>
  <c r="P105" i="3"/>
  <c r="P104" i="3"/>
  <c r="BY103" i="3"/>
  <c r="P103" i="3"/>
  <c r="BY102" i="3"/>
  <c r="P102" i="3"/>
  <c r="P101" i="3"/>
  <c r="BY100" i="3"/>
  <c r="P100" i="3"/>
  <c r="P99" i="3"/>
  <c r="P98" i="3"/>
  <c r="BY97" i="3"/>
  <c r="P97" i="3"/>
  <c r="BY96" i="3"/>
  <c r="P96" i="3"/>
  <c r="BY95" i="3"/>
  <c r="P95" i="3"/>
  <c r="BY94" i="3"/>
  <c r="P94" i="3"/>
  <c r="P93" i="3"/>
  <c r="BY92" i="3"/>
  <c r="P92" i="3"/>
  <c r="BY91" i="3"/>
  <c r="P91" i="3"/>
  <c r="P90" i="3"/>
  <c r="BY89" i="3"/>
  <c r="P89" i="3"/>
  <c r="BY88" i="3"/>
  <c r="P88" i="3"/>
  <c r="BY87" i="3"/>
  <c r="P87" i="3"/>
  <c r="BY86" i="3"/>
  <c r="P86" i="3"/>
  <c r="P85" i="3"/>
  <c r="BY84" i="3"/>
  <c r="P84" i="3"/>
  <c r="BY83" i="3"/>
  <c r="P83" i="3"/>
  <c r="P82" i="3"/>
  <c r="BY81" i="3"/>
  <c r="P81" i="3"/>
  <c r="BY80" i="3"/>
  <c r="P80" i="3"/>
  <c r="BY79" i="3"/>
  <c r="P79" i="3"/>
  <c r="BY78" i="3"/>
  <c r="P78" i="3"/>
  <c r="P77" i="3"/>
  <c r="BY76" i="3"/>
  <c r="P76" i="3"/>
  <c r="BY75" i="3"/>
  <c r="P75" i="3"/>
  <c r="BY74" i="3"/>
  <c r="P74" i="3"/>
  <c r="BY73" i="3"/>
  <c r="P73" i="3"/>
  <c r="BY72" i="3"/>
  <c r="P72" i="3"/>
  <c r="BY71" i="3"/>
  <c r="P71" i="3"/>
  <c r="BY70" i="3"/>
  <c r="P70" i="3"/>
  <c r="P69" i="3"/>
  <c r="BY68" i="3"/>
  <c r="P68" i="3"/>
  <c r="BY67" i="3"/>
  <c r="P67" i="3"/>
  <c r="P66" i="3"/>
  <c r="BY65" i="3"/>
  <c r="P65" i="3"/>
  <c r="BY64" i="3"/>
  <c r="P64" i="3"/>
  <c r="BY63" i="3"/>
  <c r="P63" i="3"/>
  <c r="BY62" i="3"/>
  <c r="P62" i="3"/>
  <c r="P61" i="3"/>
  <c r="BY60" i="3"/>
  <c r="P60" i="3"/>
  <c r="BY59" i="3"/>
  <c r="P59" i="3"/>
  <c r="P58" i="3"/>
  <c r="BY57" i="3"/>
  <c r="P57" i="3"/>
  <c r="BY56" i="3"/>
  <c r="P56" i="3"/>
  <c r="BY55" i="3"/>
  <c r="P55" i="3"/>
  <c r="BY54" i="3"/>
  <c r="P54" i="3"/>
  <c r="BY53" i="3"/>
  <c r="P53" i="3"/>
  <c r="BY52" i="3"/>
  <c r="P52" i="3"/>
  <c r="BY51" i="3"/>
  <c r="P51" i="3"/>
  <c r="BY50" i="3"/>
  <c r="P50" i="3"/>
  <c r="BY49" i="3"/>
  <c r="P49" i="3"/>
  <c r="P48" i="3"/>
  <c r="BY47" i="3"/>
  <c r="P47" i="3"/>
  <c r="P46" i="3"/>
  <c r="BY45" i="3"/>
  <c r="P45" i="3"/>
  <c r="BY44" i="3"/>
  <c r="P44" i="3"/>
  <c r="BY43" i="3"/>
  <c r="P43" i="3"/>
  <c r="P42" i="3"/>
  <c r="BY41" i="3"/>
  <c r="P41" i="3"/>
  <c r="BY40" i="3"/>
  <c r="P40" i="3"/>
  <c r="BY39" i="3"/>
  <c r="P39" i="3"/>
  <c r="BY38" i="3"/>
  <c r="P38" i="3"/>
  <c r="BY37" i="3"/>
  <c r="P37" i="3"/>
  <c r="BY36" i="3"/>
  <c r="P36" i="3"/>
  <c r="BY35" i="3"/>
  <c r="P35" i="3"/>
  <c r="BY34" i="3"/>
  <c r="P34" i="3"/>
  <c r="BY33" i="3"/>
  <c r="P33" i="3"/>
  <c r="BY32" i="3"/>
  <c r="P32" i="3"/>
  <c r="BY31" i="3"/>
  <c r="P31" i="3"/>
  <c r="BY30" i="3"/>
  <c r="P30" i="3"/>
  <c r="BY29" i="3"/>
  <c r="P29" i="3"/>
  <c r="BY28" i="3"/>
  <c r="P28" i="3"/>
  <c r="BY27" i="3"/>
  <c r="P27" i="3"/>
  <c r="BY26" i="3"/>
  <c r="P26" i="3"/>
  <c r="BY25" i="3"/>
  <c r="P25" i="3"/>
  <c r="BY24" i="3"/>
  <c r="P24" i="3"/>
  <c r="BY23" i="3"/>
  <c r="P23" i="3"/>
  <c r="BY22" i="3"/>
  <c r="P22" i="3"/>
  <c r="BY21" i="3"/>
  <c r="P21" i="3"/>
  <c r="P20" i="3"/>
  <c r="BY19" i="3"/>
  <c r="P19" i="3"/>
  <c r="BY18" i="3"/>
  <c r="P18" i="3"/>
  <c r="BY17" i="3"/>
  <c r="P17" i="3"/>
  <c r="P16" i="3"/>
  <c r="BY15" i="3"/>
  <c r="P15" i="3"/>
  <c r="BY14" i="3"/>
  <c r="P14" i="3"/>
  <c r="BY13" i="3"/>
  <c r="P13" i="3"/>
  <c r="BY12" i="3"/>
  <c r="P12" i="3"/>
  <c r="BY11" i="3"/>
  <c r="P11" i="3"/>
  <c r="P10" i="3"/>
  <c r="BY9" i="3"/>
  <c r="P9" i="3"/>
  <c r="BY8" i="3"/>
  <c r="P8" i="3"/>
  <c r="BY7" i="3"/>
  <c r="BY6" i="3"/>
  <c r="Z4" i="3"/>
  <c r="X4" i="3"/>
  <c r="AV42" i="3" l="1"/>
  <c r="M4" i="3"/>
  <c r="O4" i="3"/>
  <c r="AI4" i="3"/>
  <c r="AO4" i="3"/>
  <c r="CN4" i="3"/>
  <c r="CP4" i="3"/>
  <c r="CR4" i="3"/>
  <c r="CT4" i="3"/>
  <c r="AB4" i="3"/>
  <c r="AG4" i="3"/>
  <c r="BZ9" i="3"/>
  <c r="CA9" i="3" s="1"/>
  <c r="CB9" i="3" s="1"/>
  <c r="BZ13" i="3"/>
  <c r="CA13" i="3" s="1"/>
  <c r="CB13" i="3" s="1"/>
  <c r="BZ17" i="3"/>
  <c r="CA17" i="3" s="1"/>
  <c r="CB17" i="3" s="1"/>
  <c r="BZ33" i="3"/>
  <c r="CA33" i="3" s="1"/>
  <c r="CB33" i="3" s="1"/>
  <c r="BZ45" i="3"/>
  <c r="CA45" i="3" s="1"/>
  <c r="CB45" i="3" s="1"/>
  <c r="BZ73" i="3"/>
  <c r="CA73" i="3" s="1"/>
  <c r="CB73" i="3" s="1"/>
  <c r="BZ113" i="3"/>
  <c r="CA113" i="3" s="1"/>
  <c r="CB113" i="3" s="1"/>
  <c r="BZ137" i="3"/>
  <c r="CA137" i="3" s="1"/>
  <c r="CB137" i="3" s="1"/>
  <c r="BZ161" i="3"/>
  <c r="CA161" i="3" s="1"/>
  <c r="CB161" i="3" s="1"/>
  <c r="BZ165" i="3"/>
  <c r="CA165" i="3" s="1"/>
  <c r="CB165" i="3" s="1"/>
  <c r="BZ169" i="3"/>
  <c r="CA169" i="3" s="1"/>
  <c r="CB169" i="3" s="1"/>
  <c r="BZ182" i="3"/>
  <c r="CA182" i="3" s="1"/>
  <c r="CB182" i="3" s="1"/>
  <c r="BZ206" i="3"/>
  <c r="CA206" i="3" s="1"/>
  <c r="CB206" i="3" s="1"/>
  <c r="BZ226" i="3"/>
  <c r="CA226" i="3" s="1"/>
  <c r="CB226" i="3" s="1"/>
  <c r="BZ242" i="3"/>
  <c r="CA242" i="3" s="1"/>
  <c r="CB242" i="3" s="1"/>
  <c r="BZ258" i="3"/>
  <c r="CA258" i="3" s="1"/>
  <c r="CB258" i="3" s="1"/>
  <c r="BZ26" i="3"/>
  <c r="CA26" i="3" s="1"/>
  <c r="CB26" i="3" s="1"/>
  <c r="BZ34" i="3"/>
  <c r="CA34" i="3" s="1"/>
  <c r="CB34" i="3" s="1"/>
  <c r="BZ74" i="3"/>
  <c r="CA74" i="3" s="1"/>
  <c r="CB74" i="3" s="1"/>
  <c r="BZ106" i="3"/>
  <c r="CA106" i="3" s="1"/>
  <c r="CB106" i="3" s="1"/>
  <c r="BZ134" i="3"/>
  <c r="CA134" i="3" s="1"/>
  <c r="CB134" i="3" s="1"/>
  <c r="BZ138" i="3"/>
  <c r="CA138" i="3" s="1"/>
  <c r="CB138" i="3" s="1"/>
  <c r="BZ142" i="3"/>
  <c r="CA142" i="3" s="1"/>
  <c r="CB142" i="3" s="1"/>
  <c r="BZ158" i="3"/>
  <c r="CA158" i="3" s="1"/>
  <c r="CB158" i="3" s="1"/>
  <c r="BZ199" i="3"/>
  <c r="CA199" i="3" s="1"/>
  <c r="CB199" i="3" s="1"/>
  <c r="BZ235" i="3"/>
  <c r="CA235" i="3" s="1"/>
  <c r="CB235" i="3" s="1"/>
  <c r="BZ271" i="3"/>
  <c r="CA271" i="3" s="1"/>
  <c r="CB271" i="3" s="1"/>
  <c r="BZ8" i="3"/>
  <c r="CA8" i="3" s="1"/>
  <c r="CB8" i="3" s="1"/>
  <c r="BZ12" i="3"/>
  <c r="CA12" i="3" s="1"/>
  <c r="CB12" i="3" s="1"/>
  <c r="BZ24" i="3"/>
  <c r="CA24" i="3" s="1"/>
  <c r="CB24" i="3" s="1"/>
  <c r="BZ29" i="3"/>
  <c r="CA29" i="3" s="1"/>
  <c r="CB29" i="3" s="1"/>
  <c r="BZ57" i="3"/>
  <c r="CA57" i="3" s="1"/>
  <c r="CB57" i="3" s="1"/>
  <c r="BZ81" i="3"/>
  <c r="CA81" i="3" s="1"/>
  <c r="CB81" i="3" s="1"/>
  <c r="BZ105" i="3"/>
  <c r="CA105" i="3" s="1"/>
  <c r="CB105" i="3" s="1"/>
  <c r="BZ129" i="3"/>
  <c r="CA129" i="3" s="1"/>
  <c r="CB129" i="3" s="1"/>
  <c r="BZ190" i="3"/>
  <c r="CA190" i="3" s="1"/>
  <c r="CB190" i="3" s="1"/>
  <c r="BZ202" i="3"/>
  <c r="CA202" i="3" s="1"/>
  <c r="CB202" i="3" s="1"/>
  <c r="BZ254" i="3"/>
  <c r="CA254" i="3" s="1"/>
  <c r="CB254" i="3" s="1"/>
  <c r="BZ38" i="3"/>
  <c r="CA38" i="3" s="1"/>
  <c r="CB38" i="3" s="1"/>
  <c r="BZ50" i="3"/>
  <c r="CA50" i="3" s="1"/>
  <c r="CB50" i="3" s="1"/>
  <c r="BZ78" i="3"/>
  <c r="CA78" i="3" s="1"/>
  <c r="CB78" i="3" s="1"/>
  <c r="BZ118" i="3"/>
  <c r="CA118" i="3" s="1"/>
  <c r="CB118" i="3" s="1"/>
  <c r="BZ146" i="3"/>
  <c r="CA146" i="3" s="1"/>
  <c r="CB146" i="3" s="1"/>
  <c r="BZ183" i="3"/>
  <c r="CA183" i="3" s="1"/>
  <c r="CB183" i="3" s="1"/>
  <c r="BZ187" i="3"/>
  <c r="CA187" i="3" s="1"/>
  <c r="CB187" i="3" s="1"/>
  <c r="BZ191" i="3"/>
  <c r="CA191" i="3" s="1"/>
  <c r="CB191" i="3" s="1"/>
  <c r="BZ207" i="3"/>
  <c r="CA207" i="3" s="1"/>
  <c r="CB207" i="3" s="1"/>
  <c r="BZ247" i="3"/>
  <c r="CA247" i="3" s="1"/>
  <c r="CB247" i="3" s="1"/>
  <c r="BZ251" i="3"/>
  <c r="CA251" i="3" s="1"/>
  <c r="CB251" i="3" s="1"/>
  <c r="BZ283" i="3"/>
  <c r="CA283" i="3" s="1"/>
  <c r="CB283" i="3" s="1"/>
  <c r="BZ7" i="3"/>
  <c r="CA7" i="3" s="1"/>
  <c r="CB7" i="3" s="1"/>
  <c r="BZ11" i="3"/>
  <c r="CA11" i="3" s="1"/>
  <c r="CB11" i="3" s="1"/>
  <c r="BZ15" i="3"/>
  <c r="CA15" i="3" s="1"/>
  <c r="CB15" i="3" s="1"/>
  <c r="BZ19" i="3"/>
  <c r="CA19" i="3" s="1"/>
  <c r="CB19" i="3" s="1"/>
  <c r="BZ23" i="3"/>
  <c r="CA23" i="3" s="1"/>
  <c r="CB23" i="3" s="1"/>
  <c r="BZ27" i="3"/>
  <c r="CA27" i="3" s="1"/>
  <c r="CB27" i="3" s="1"/>
  <c r="BZ31" i="3"/>
  <c r="CA31" i="3" s="1"/>
  <c r="CB31" i="3" s="1"/>
  <c r="BZ35" i="3"/>
  <c r="CA35" i="3" s="1"/>
  <c r="CB35" i="3" s="1"/>
  <c r="BZ39" i="3"/>
  <c r="CA39" i="3" s="1"/>
  <c r="CB39" i="3" s="1"/>
  <c r="BZ43" i="3"/>
  <c r="CA43" i="3" s="1"/>
  <c r="CB43" i="3" s="1"/>
  <c r="BZ47" i="3"/>
  <c r="CA47" i="3" s="1"/>
  <c r="CB47" i="3" s="1"/>
  <c r="BZ51" i="3"/>
  <c r="CA51" i="3" s="1"/>
  <c r="CB51" i="3" s="1"/>
  <c r="BZ55" i="3"/>
  <c r="CA55" i="3" s="1"/>
  <c r="CB55" i="3" s="1"/>
  <c r="BZ59" i="3"/>
  <c r="CA59" i="3" s="1"/>
  <c r="CB59" i="3" s="1"/>
  <c r="BZ63" i="3"/>
  <c r="CA63" i="3" s="1"/>
  <c r="CB63" i="3" s="1"/>
  <c r="BZ67" i="3"/>
  <c r="CA67" i="3" s="1"/>
  <c r="CB67" i="3" s="1"/>
  <c r="BZ71" i="3"/>
  <c r="CA71" i="3" s="1"/>
  <c r="CB71" i="3" s="1"/>
  <c r="BZ75" i="3"/>
  <c r="CA75" i="3" s="1"/>
  <c r="CB75" i="3" s="1"/>
  <c r="BZ79" i="3"/>
  <c r="CA79" i="3" s="1"/>
  <c r="CB79" i="3" s="1"/>
  <c r="BZ83" i="3"/>
  <c r="CA83" i="3" s="1"/>
  <c r="CB83" i="3" s="1"/>
  <c r="BZ87" i="3"/>
  <c r="CA87" i="3" s="1"/>
  <c r="CB87" i="3" s="1"/>
  <c r="BZ91" i="3"/>
  <c r="CA91" i="3" s="1"/>
  <c r="CB91" i="3" s="1"/>
  <c r="BZ95" i="3"/>
  <c r="CA95" i="3" s="1"/>
  <c r="CB95" i="3" s="1"/>
  <c r="BZ103" i="3"/>
  <c r="CA103" i="3" s="1"/>
  <c r="CB103" i="3" s="1"/>
  <c r="BZ107" i="3"/>
  <c r="CA107" i="3" s="1"/>
  <c r="CB107" i="3" s="1"/>
  <c r="BZ111" i="3"/>
  <c r="CA111" i="3" s="1"/>
  <c r="CB111" i="3" s="1"/>
  <c r="BZ115" i="3"/>
  <c r="CA115" i="3" s="1"/>
  <c r="CB115" i="3" s="1"/>
  <c r="BZ119" i="3"/>
  <c r="CA119" i="3" s="1"/>
  <c r="CB119" i="3" s="1"/>
  <c r="BZ127" i="3"/>
  <c r="CA127" i="3" s="1"/>
  <c r="CB127" i="3" s="1"/>
  <c r="BZ131" i="3"/>
  <c r="CA131" i="3" s="1"/>
  <c r="CB131" i="3" s="1"/>
  <c r="BZ135" i="3"/>
  <c r="CA135" i="3" s="1"/>
  <c r="CB135" i="3" s="1"/>
  <c r="BZ143" i="3"/>
  <c r="CA143" i="3" s="1"/>
  <c r="CB143" i="3" s="1"/>
  <c r="BZ151" i="3"/>
  <c r="CA151" i="3" s="1"/>
  <c r="CB151" i="3" s="1"/>
  <c r="BZ159" i="3"/>
  <c r="CA159" i="3" s="1"/>
  <c r="CB159" i="3" s="1"/>
  <c r="BZ167" i="3"/>
  <c r="CA167" i="3" s="1"/>
  <c r="CB167" i="3" s="1"/>
  <c r="BZ171" i="3"/>
  <c r="CA171" i="3" s="1"/>
  <c r="CB171" i="3" s="1"/>
  <c r="BZ176" i="3"/>
  <c r="CA176" i="3" s="1"/>
  <c r="CB176" i="3" s="1"/>
  <c r="BZ180" i="3"/>
  <c r="CA180" i="3" s="1"/>
  <c r="CB180" i="3" s="1"/>
  <c r="BZ188" i="3"/>
  <c r="CA188" i="3" s="1"/>
  <c r="CB188" i="3" s="1"/>
  <c r="BZ192" i="3"/>
  <c r="CA192" i="3" s="1"/>
  <c r="CB192" i="3" s="1"/>
  <c r="BZ196" i="3"/>
  <c r="CA196" i="3" s="1"/>
  <c r="CB196" i="3" s="1"/>
  <c r="BZ200" i="3"/>
  <c r="CA200" i="3" s="1"/>
  <c r="CB200" i="3" s="1"/>
  <c r="BZ204" i="3"/>
  <c r="CA204" i="3" s="1"/>
  <c r="CB204" i="3" s="1"/>
  <c r="BZ208" i="3"/>
  <c r="CA208" i="3" s="1"/>
  <c r="CB208" i="3" s="1"/>
  <c r="BZ212" i="3"/>
  <c r="CA212" i="3" s="1"/>
  <c r="CB212" i="3" s="1"/>
  <c r="BZ224" i="3"/>
  <c r="CA224" i="3" s="1"/>
  <c r="CB224" i="3" s="1"/>
  <c r="BZ228" i="3"/>
  <c r="CA228" i="3" s="1"/>
  <c r="CB228" i="3" s="1"/>
  <c r="BZ232" i="3"/>
  <c r="CA232" i="3" s="1"/>
  <c r="CB232" i="3" s="1"/>
  <c r="BZ240" i="3"/>
  <c r="CA240" i="3" s="1"/>
  <c r="CB240" i="3" s="1"/>
  <c r="BZ244" i="3"/>
  <c r="CA244" i="3" s="1"/>
  <c r="CB244" i="3" s="1"/>
  <c r="BZ252" i="3"/>
  <c r="CA252" i="3" s="1"/>
  <c r="CB252" i="3" s="1"/>
  <c r="BZ260" i="3"/>
  <c r="CA260" i="3" s="1"/>
  <c r="CB260" i="3" s="1"/>
  <c r="BZ268" i="3"/>
  <c r="CA268" i="3" s="1"/>
  <c r="CB268" i="3" s="1"/>
  <c r="BZ276" i="3"/>
  <c r="CA276" i="3" s="1"/>
  <c r="CB276" i="3" s="1"/>
  <c r="BZ288" i="3"/>
  <c r="CA288" i="3" s="1"/>
  <c r="CB288" i="3" s="1"/>
  <c r="BZ21" i="3"/>
  <c r="CA21" i="3" s="1"/>
  <c r="CB21" i="3" s="1"/>
  <c r="BZ37" i="3"/>
  <c r="CA37" i="3" s="1"/>
  <c r="CB37" i="3" s="1"/>
  <c r="BZ41" i="3"/>
  <c r="CA41" i="3" s="1"/>
  <c r="CB41" i="3" s="1"/>
  <c r="BZ49" i="3"/>
  <c r="CA49" i="3" s="1"/>
  <c r="CB49" i="3" s="1"/>
  <c r="BZ89" i="3"/>
  <c r="CA89" i="3" s="1"/>
  <c r="CB89" i="3" s="1"/>
  <c r="BZ97" i="3"/>
  <c r="CA97" i="3" s="1"/>
  <c r="CB97" i="3" s="1"/>
  <c r="BZ117" i="3"/>
  <c r="CA117" i="3" s="1"/>
  <c r="CB117" i="3" s="1"/>
  <c r="BZ121" i="3"/>
  <c r="CA121" i="3" s="1"/>
  <c r="CB121" i="3" s="1"/>
  <c r="BZ153" i="3"/>
  <c r="CA153" i="3" s="1"/>
  <c r="CB153" i="3" s="1"/>
  <c r="BZ157" i="3"/>
  <c r="CA157" i="3" s="1"/>
  <c r="CB157" i="3" s="1"/>
  <c r="BZ186" i="3"/>
  <c r="CA186" i="3" s="1"/>
  <c r="CB186" i="3" s="1"/>
  <c r="BZ198" i="3"/>
  <c r="CA198" i="3" s="1"/>
  <c r="CB198" i="3" s="1"/>
  <c r="BZ218" i="3"/>
  <c r="CA218" i="3" s="1"/>
  <c r="CB218" i="3" s="1"/>
  <c r="BZ246" i="3"/>
  <c r="CA246" i="3" s="1"/>
  <c r="CB246" i="3" s="1"/>
  <c r="BZ54" i="3"/>
  <c r="CA54" i="3" s="1"/>
  <c r="CB54" i="3" s="1"/>
  <c r="BZ86" i="3"/>
  <c r="CA86" i="3" s="1"/>
  <c r="CB86" i="3" s="1"/>
  <c r="BZ110" i="3"/>
  <c r="CA110" i="3" s="1"/>
  <c r="CB110" i="3" s="1"/>
  <c r="BZ170" i="3"/>
  <c r="CA170" i="3" s="1"/>
  <c r="CB170" i="3" s="1"/>
  <c r="BZ174" i="3"/>
  <c r="CA174" i="3" s="1"/>
  <c r="CB174" i="3" s="1"/>
  <c r="BZ203" i="3"/>
  <c r="CA203" i="3" s="1"/>
  <c r="CB203" i="3" s="1"/>
  <c r="BZ211" i="3"/>
  <c r="CA211" i="3" s="1"/>
  <c r="CB211" i="3" s="1"/>
  <c r="BZ215" i="3"/>
  <c r="CA215" i="3" s="1"/>
  <c r="CB215" i="3" s="1"/>
  <c r="BZ231" i="3"/>
  <c r="CA231" i="3" s="1"/>
  <c r="CB231" i="3" s="1"/>
  <c r="BZ255" i="3"/>
  <c r="CA255" i="3" s="1"/>
  <c r="CB255" i="3" s="1"/>
  <c r="BZ259" i="3"/>
  <c r="CA259" i="3" s="1"/>
  <c r="CB259" i="3" s="1"/>
  <c r="BZ263" i="3"/>
  <c r="CA263" i="3" s="1"/>
  <c r="CB263" i="3" s="1"/>
  <c r="BZ275" i="3"/>
  <c r="CA275" i="3" s="1"/>
  <c r="CB275" i="3" s="1"/>
  <c r="BZ279" i="3"/>
  <c r="CA279" i="3" s="1"/>
  <c r="CB279" i="3" s="1"/>
  <c r="BZ25" i="3"/>
  <c r="CA25" i="3" s="1"/>
  <c r="CB25" i="3" s="1"/>
  <c r="BZ53" i="3"/>
  <c r="CA53" i="3" s="1"/>
  <c r="CB53" i="3" s="1"/>
  <c r="BZ65" i="3"/>
  <c r="CA65" i="3" s="1"/>
  <c r="CB65" i="3" s="1"/>
  <c r="BZ133" i="3"/>
  <c r="CA133" i="3" s="1"/>
  <c r="CB133" i="3" s="1"/>
  <c r="BZ145" i="3"/>
  <c r="CA145" i="3" s="1"/>
  <c r="CB145" i="3" s="1"/>
  <c r="BZ149" i="3"/>
  <c r="CA149" i="3" s="1"/>
  <c r="CB149" i="3" s="1"/>
  <c r="BZ178" i="3"/>
  <c r="CA178" i="3" s="1"/>
  <c r="CB178" i="3" s="1"/>
  <c r="BZ194" i="3"/>
  <c r="CA194" i="3" s="1"/>
  <c r="CB194" i="3" s="1"/>
  <c r="BZ210" i="3"/>
  <c r="CA210" i="3" s="1"/>
  <c r="CB210" i="3" s="1"/>
  <c r="BZ214" i="3"/>
  <c r="CA214" i="3" s="1"/>
  <c r="CB214" i="3" s="1"/>
  <c r="BZ222" i="3"/>
  <c r="CA222" i="3" s="1"/>
  <c r="CB222" i="3" s="1"/>
  <c r="BZ234" i="3"/>
  <c r="CA234" i="3" s="1"/>
  <c r="CB234" i="3" s="1"/>
  <c r="BZ238" i="3"/>
  <c r="CA238" i="3" s="1"/>
  <c r="CB238" i="3" s="1"/>
  <c r="BZ270" i="3"/>
  <c r="CA270" i="3" s="1"/>
  <c r="CB270" i="3" s="1"/>
  <c r="BZ274" i="3"/>
  <c r="CA274" i="3" s="1"/>
  <c r="CB274" i="3" s="1"/>
  <c r="BZ6" i="3"/>
  <c r="CA6" i="3" s="1"/>
  <c r="CB6" i="3" s="1"/>
  <c r="BZ14" i="3"/>
  <c r="CA14" i="3" s="1"/>
  <c r="CB14" i="3" s="1"/>
  <c r="BZ18" i="3"/>
  <c r="CA18" i="3" s="1"/>
  <c r="CB18" i="3" s="1"/>
  <c r="BZ22" i="3"/>
  <c r="CA22" i="3" s="1"/>
  <c r="CB22" i="3" s="1"/>
  <c r="BZ30" i="3"/>
  <c r="CA30" i="3" s="1"/>
  <c r="CB30" i="3" s="1"/>
  <c r="BZ62" i="3"/>
  <c r="CA62" i="3" s="1"/>
  <c r="CB62" i="3" s="1"/>
  <c r="BZ70" i="3"/>
  <c r="CA70" i="3" s="1"/>
  <c r="CB70" i="3" s="1"/>
  <c r="BZ94" i="3"/>
  <c r="CA94" i="3" s="1"/>
  <c r="CB94" i="3" s="1"/>
  <c r="BZ102" i="3"/>
  <c r="CA102" i="3" s="1"/>
  <c r="CB102" i="3" s="1"/>
  <c r="BZ122" i="3"/>
  <c r="CA122" i="3" s="1"/>
  <c r="CB122" i="3" s="1"/>
  <c r="BZ126" i="3"/>
  <c r="CA126" i="3" s="1"/>
  <c r="CB126" i="3" s="1"/>
  <c r="BZ150" i="3"/>
  <c r="CA150" i="3" s="1"/>
  <c r="CB150" i="3" s="1"/>
  <c r="BZ154" i="3"/>
  <c r="CA154" i="3" s="1"/>
  <c r="CB154" i="3" s="1"/>
  <c r="BZ162" i="3"/>
  <c r="CA162" i="3" s="1"/>
  <c r="CB162" i="3" s="1"/>
  <c r="BZ166" i="3"/>
  <c r="CA166" i="3" s="1"/>
  <c r="CB166" i="3" s="1"/>
  <c r="BZ219" i="3"/>
  <c r="CA219" i="3" s="1"/>
  <c r="CB219" i="3" s="1"/>
  <c r="BZ239" i="3"/>
  <c r="CA239" i="3" s="1"/>
  <c r="CB239" i="3" s="1"/>
  <c r="BZ267" i="3"/>
  <c r="CA267" i="3" s="1"/>
  <c r="CB267" i="3" s="1"/>
  <c r="BZ287" i="3"/>
  <c r="CA287" i="3" s="1"/>
  <c r="CB287" i="3" s="1"/>
  <c r="BZ28" i="3"/>
  <c r="CA28" i="3" s="1"/>
  <c r="CB28" i="3" s="1"/>
  <c r="BZ32" i="3"/>
  <c r="CA32" i="3" s="1"/>
  <c r="CB32" i="3" s="1"/>
  <c r="BZ36" i="3"/>
  <c r="CA36" i="3" s="1"/>
  <c r="CB36" i="3" s="1"/>
  <c r="BZ40" i="3"/>
  <c r="CA40" i="3" s="1"/>
  <c r="CB40" i="3" s="1"/>
  <c r="BZ44" i="3"/>
  <c r="CA44" i="3" s="1"/>
  <c r="CB44" i="3" s="1"/>
  <c r="BZ52" i="3"/>
  <c r="CA52" i="3" s="1"/>
  <c r="CB52" i="3" s="1"/>
  <c r="BZ56" i="3"/>
  <c r="CA56" i="3" s="1"/>
  <c r="CB56" i="3" s="1"/>
  <c r="BZ60" i="3"/>
  <c r="CA60" i="3" s="1"/>
  <c r="CB60" i="3" s="1"/>
  <c r="BZ64" i="3"/>
  <c r="CA64" i="3" s="1"/>
  <c r="CB64" i="3" s="1"/>
  <c r="BZ68" i="3"/>
  <c r="CA68" i="3" s="1"/>
  <c r="CB68" i="3" s="1"/>
  <c r="BZ72" i="3"/>
  <c r="CA72" i="3" s="1"/>
  <c r="CB72" i="3" s="1"/>
  <c r="BZ76" i="3"/>
  <c r="CA76" i="3" s="1"/>
  <c r="CB76" i="3" s="1"/>
  <c r="BZ80" i="3"/>
  <c r="CA80" i="3" s="1"/>
  <c r="CB80" i="3" s="1"/>
  <c r="BZ84" i="3"/>
  <c r="CA84" i="3" s="1"/>
  <c r="CB84" i="3" s="1"/>
  <c r="BZ88" i="3"/>
  <c r="CA88" i="3" s="1"/>
  <c r="CB88" i="3" s="1"/>
  <c r="BZ92" i="3"/>
  <c r="CA92" i="3" s="1"/>
  <c r="CB92" i="3" s="1"/>
  <c r="BZ96" i="3"/>
  <c r="CA96" i="3" s="1"/>
  <c r="CB96" i="3" s="1"/>
  <c r="BZ100" i="3"/>
  <c r="CA100" i="3" s="1"/>
  <c r="CB100" i="3" s="1"/>
  <c r="BZ108" i="3"/>
  <c r="CA108" i="3" s="1"/>
  <c r="CB108" i="3" s="1"/>
  <c r="BZ112" i="3"/>
  <c r="CA112" i="3" s="1"/>
  <c r="CB112" i="3" s="1"/>
  <c r="BZ116" i="3"/>
  <c r="CA116" i="3" s="1"/>
  <c r="CB116" i="3" s="1"/>
  <c r="BZ120" i="3"/>
  <c r="CA120" i="3" s="1"/>
  <c r="CB120" i="3" s="1"/>
  <c r="BZ124" i="3"/>
  <c r="CA124" i="3" s="1"/>
  <c r="CB124" i="3" s="1"/>
  <c r="BZ128" i="3"/>
  <c r="CA128" i="3" s="1"/>
  <c r="CB128" i="3" s="1"/>
  <c r="BZ132" i="3"/>
  <c r="CA132" i="3" s="1"/>
  <c r="CB132" i="3" s="1"/>
  <c r="BZ136" i="3"/>
  <c r="CA136" i="3" s="1"/>
  <c r="CB136" i="3" s="1"/>
  <c r="BZ140" i="3"/>
  <c r="CA140" i="3" s="1"/>
  <c r="CB140" i="3" s="1"/>
  <c r="BZ144" i="3"/>
  <c r="CA144" i="3" s="1"/>
  <c r="CB144" i="3" s="1"/>
  <c r="BZ148" i="3"/>
  <c r="CA148" i="3" s="1"/>
  <c r="CB148" i="3" s="1"/>
  <c r="BZ156" i="3"/>
  <c r="CA156" i="3" s="1"/>
  <c r="CB156" i="3" s="1"/>
  <c r="BZ164" i="3"/>
  <c r="CA164" i="3" s="1"/>
  <c r="CB164" i="3" s="1"/>
  <c r="BZ168" i="3"/>
  <c r="CA168" i="3" s="1"/>
  <c r="CB168" i="3" s="1"/>
  <c r="BZ181" i="3"/>
  <c r="CA181" i="3" s="1"/>
  <c r="CB181" i="3" s="1"/>
  <c r="BZ189" i="3"/>
  <c r="CA189" i="3" s="1"/>
  <c r="CB189" i="3" s="1"/>
  <c r="BZ197" i="3"/>
  <c r="CA197" i="3" s="1"/>
  <c r="CB197" i="3" s="1"/>
  <c r="BZ201" i="3"/>
  <c r="CA201" i="3" s="1"/>
  <c r="CB201" i="3" s="1"/>
  <c r="BZ205" i="3"/>
  <c r="CA205" i="3" s="1"/>
  <c r="CB205" i="3" s="1"/>
  <c r="BZ213" i="3"/>
  <c r="CA213" i="3" s="1"/>
  <c r="CB213" i="3" s="1"/>
  <c r="BZ217" i="3"/>
  <c r="CA217" i="3" s="1"/>
  <c r="CB217" i="3" s="1"/>
  <c r="BZ221" i="3"/>
  <c r="CA221" i="3" s="1"/>
  <c r="CB221" i="3" s="1"/>
  <c r="BZ225" i="3"/>
  <c r="CA225" i="3" s="1"/>
  <c r="CB225" i="3" s="1"/>
  <c r="BZ229" i="3"/>
  <c r="CA229" i="3" s="1"/>
  <c r="CB229" i="3" s="1"/>
  <c r="BZ233" i="3"/>
  <c r="CA233" i="3" s="1"/>
  <c r="CB233" i="3" s="1"/>
  <c r="BZ241" i="3"/>
  <c r="CA241" i="3" s="1"/>
  <c r="CB241" i="3" s="1"/>
  <c r="BZ245" i="3"/>
  <c r="CA245" i="3" s="1"/>
  <c r="CB245" i="3" s="1"/>
  <c r="BZ249" i="3"/>
  <c r="CA249" i="3" s="1"/>
  <c r="CB249" i="3" s="1"/>
  <c r="BZ253" i="3"/>
  <c r="CA253" i="3" s="1"/>
  <c r="CB253" i="3" s="1"/>
  <c r="BZ257" i="3"/>
  <c r="CA257" i="3" s="1"/>
  <c r="CB257" i="3" s="1"/>
  <c r="BZ261" i="3"/>
  <c r="CA261" i="3" s="1"/>
  <c r="CB261" i="3" s="1"/>
  <c r="BZ265" i="3"/>
  <c r="CA265" i="3" s="1"/>
  <c r="CB265" i="3" s="1"/>
  <c r="BZ269" i="3"/>
  <c r="CA269" i="3" s="1"/>
  <c r="CB269" i="3" s="1"/>
  <c r="BZ273" i="3"/>
  <c r="CA273" i="3" s="1"/>
  <c r="CB273" i="3" s="1"/>
  <c r="BZ277" i="3"/>
  <c r="CA277" i="3" s="1"/>
  <c r="CB277" i="3" s="1"/>
  <c r="BZ281" i="3"/>
  <c r="CA281" i="3" s="1"/>
  <c r="CB281" i="3" s="1"/>
  <c r="BZ285" i="3"/>
  <c r="CA285" i="3" s="1"/>
  <c r="CB285" i="3" s="1"/>
  <c r="BZ289" i="3"/>
  <c r="CA289" i="3" s="1"/>
  <c r="CB289" i="3" s="1"/>
  <c r="BY16" i="3"/>
  <c r="BY152" i="3"/>
  <c r="BY160" i="3"/>
  <c r="BY172" i="3"/>
  <c r="BY185" i="3"/>
  <c r="BY209" i="3"/>
  <c r="BY61" i="3"/>
  <c r="BY69" i="3"/>
  <c r="BY77" i="3"/>
  <c r="BY85" i="3"/>
  <c r="BY93" i="3"/>
  <c r="BY101" i="3"/>
  <c r="BY109" i="3"/>
  <c r="BY125" i="3"/>
  <c r="BY141" i="3"/>
  <c r="BY173" i="3"/>
  <c r="BY230" i="3"/>
  <c r="BY250" i="3"/>
  <c r="BY262" i="3"/>
  <c r="BY266" i="3"/>
  <c r="BY278" i="3"/>
  <c r="BY282" i="3"/>
  <c r="BY286" i="3"/>
  <c r="BY290" i="3"/>
  <c r="BY177" i="3"/>
  <c r="BY193" i="3"/>
  <c r="BY237" i="3"/>
  <c r="BY48" i="3"/>
  <c r="BY10" i="3"/>
  <c r="BY42" i="3"/>
  <c r="BY46" i="3"/>
  <c r="BY58" i="3"/>
  <c r="BY66" i="3"/>
  <c r="BY90" i="3"/>
  <c r="BY114" i="3"/>
  <c r="BY130" i="3"/>
  <c r="BY179" i="3"/>
  <c r="BY195" i="3"/>
  <c r="BY223" i="3"/>
  <c r="BY227" i="3"/>
  <c r="BY243" i="3"/>
  <c r="BY175" i="3"/>
  <c r="BY20" i="3"/>
  <c r="BY104" i="3"/>
  <c r="BY82" i="3"/>
  <c r="BY98" i="3"/>
  <c r="BY99" i="3"/>
  <c r="BY123" i="3"/>
  <c r="BY139" i="3"/>
  <c r="BY147" i="3"/>
  <c r="BY155" i="3"/>
  <c r="BY163" i="3"/>
  <c r="BY184" i="3"/>
  <c r="BY216" i="3"/>
  <c r="BY220" i="3"/>
  <c r="BY236" i="3"/>
  <c r="BY248" i="3"/>
  <c r="BY256" i="3"/>
  <c r="BY264" i="3"/>
  <c r="BY272" i="3"/>
  <c r="BY280" i="3"/>
  <c r="BY284" i="3"/>
  <c r="P7" i="3"/>
  <c r="AV49" i="3" l="1"/>
  <c r="BZ155" i="3"/>
  <c r="CA155" i="3" s="1"/>
  <c r="CB155" i="3" s="1"/>
  <c r="BZ20" i="3"/>
  <c r="CA20" i="3" s="1"/>
  <c r="CB20" i="3" s="1"/>
  <c r="BZ262" i="3"/>
  <c r="CA262" i="3" s="1"/>
  <c r="CB262" i="3" s="1"/>
  <c r="BZ160" i="3"/>
  <c r="CA160" i="3" s="1"/>
  <c r="CB160" i="3" s="1"/>
  <c r="BZ248" i="3"/>
  <c r="CA248" i="3" s="1"/>
  <c r="CB248" i="3" s="1"/>
  <c r="BZ123" i="3"/>
  <c r="CA123" i="3" s="1"/>
  <c r="CB123" i="3" s="1"/>
  <c r="BZ58" i="3"/>
  <c r="CA58" i="3" s="1"/>
  <c r="CB58" i="3" s="1"/>
  <c r="BZ173" i="3"/>
  <c r="CA173" i="3" s="1"/>
  <c r="CB173" i="3" s="1"/>
  <c r="BZ220" i="3"/>
  <c r="CA220" i="3" s="1"/>
  <c r="CB220" i="3" s="1"/>
  <c r="BZ99" i="3"/>
  <c r="CA99" i="3" s="1"/>
  <c r="CB99" i="3" s="1"/>
  <c r="BZ223" i="3"/>
  <c r="CA223" i="3" s="1"/>
  <c r="CB223" i="3" s="1"/>
  <c r="BZ46" i="3"/>
  <c r="CA46" i="3" s="1"/>
  <c r="CB46" i="3" s="1"/>
  <c r="BZ286" i="3"/>
  <c r="CA286" i="3" s="1"/>
  <c r="CB286" i="3" s="1"/>
  <c r="BZ141" i="3"/>
  <c r="CA141" i="3" s="1"/>
  <c r="CB141" i="3" s="1"/>
  <c r="BZ61" i="3"/>
  <c r="CA61" i="3" s="1"/>
  <c r="CB61" i="3" s="1"/>
  <c r="BZ264" i="3"/>
  <c r="CA264" i="3" s="1"/>
  <c r="CB264" i="3" s="1"/>
  <c r="BZ139" i="3"/>
  <c r="CA139" i="3" s="1"/>
  <c r="CB139" i="3" s="1"/>
  <c r="BZ177" i="3"/>
  <c r="CA177" i="3" s="1"/>
  <c r="CB177" i="3" s="1"/>
  <c r="BZ77" i="3"/>
  <c r="CA77" i="3" s="1"/>
  <c r="CB77" i="3" s="1"/>
  <c r="BZ16" i="3"/>
  <c r="CA16" i="3" s="1"/>
  <c r="CB16" i="3" s="1"/>
  <c r="BZ284" i="3"/>
  <c r="CA284" i="3" s="1"/>
  <c r="CB284" i="3" s="1"/>
  <c r="BZ98" i="3"/>
  <c r="CA98" i="3" s="1"/>
  <c r="CB98" i="3" s="1"/>
  <c r="BZ42" i="3"/>
  <c r="CA42" i="3" s="1"/>
  <c r="CB42" i="3" s="1"/>
  <c r="BZ125" i="3"/>
  <c r="CA125" i="3" s="1"/>
  <c r="CB125" i="3" s="1"/>
  <c r="BZ209" i="3"/>
  <c r="CA209" i="3" s="1"/>
  <c r="CB209" i="3" s="1"/>
  <c r="BZ114" i="3"/>
  <c r="CA114" i="3" s="1"/>
  <c r="CB114" i="3" s="1"/>
  <c r="BZ93" i="3"/>
  <c r="CA93" i="3" s="1"/>
  <c r="CB93" i="3" s="1"/>
  <c r="BZ243" i="3"/>
  <c r="CA243" i="3" s="1"/>
  <c r="CB243" i="3" s="1"/>
  <c r="BZ230" i="3"/>
  <c r="CA230" i="3" s="1"/>
  <c r="CB230" i="3" s="1"/>
  <c r="BZ216" i="3"/>
  <c r="CA216" i="3" s="1"/>
  <c r="CB216" i="3" s="1"/>
  <c r="BZ195" i="3"/>
  <c r="CA195" i="3" s="1"/>
  <c r="CB195" i="3" s="1"/>
  <c r="BZ282" i="3"/>
  <c r="CA282" i="3" s="1"/>
  <c r="CB282" i="3" s="1"/>
  <c r="BZ237" i="3"/>
  <c r="CA237" i="3" s="1"/>
  <c r="CB237" i="3" s="1"/>
  <c r="BZ66" i="3"/>
  <c r="CA66" i="3" s="1"/>
  <c r="CB66" i="3" s="1"/>
  <c r="BZ236" i="3"/>
  <c r="CA236" i="3" s="1"/>
  <c r="CB236" i="3" s="1"/>
  <c r="BZ227" i="3"/>
  <c r="CA227" i="3" s="1"/>
  <c r="CB227" i="3" s="1"/>
  <c r="BZ290" i="3"/>
  <c r="CA290" i="3" s="1"/>
  <c r="CB290" i="3" s="1"/>
  <c r="BZ69" i="3"/>
  <c r="CA69" i="3" s="1"/>
  <c r="CB69" i="3" s="1"/>
  <c r="BZ280" i="3"/>
  <c r="CA280" i="3" s="1"/>
  <c r="CB280" i="3" s="1"/>
  <c r="BZ179" i="3"/>
  <c r="CA179" i="3" s="1"/>
  <c r="CB179" i="3" s="1"/>
  <c r="BZ184" i="3"/>
  <c r="CA184" i="3" s="1"/>
  <c r="CB184" i="3" s="1"/>
  <c r="BZ82" i="3"/>
  <c r="CA82" i="3" s="1"/>
  <c r="CB82" i="3" s="1"/>
  <c r="BZ10" i="3"/>
  <c r="CA10" i="3" s="1"/>
  <c r="CB10" i="3" s="1"/>
  <c r="BZ278" i="3"/>
  <c r="CA278" i="3" s="1"/>
  <c r="CB278" i="3" s="1"/>
  <c r="BZ109" i="3"/>
  <c r="CA109" i="3" s="1"/>
  <c r="CB109" i="3" s="1"/>
  <c r="BZ185" i="3"/>
  <c r="CA185" i="3" s="1"/>
  <c r="CB185" i="3" s="1"/>
  <c r="BZ272" i="3"/>
  <c r="CA272" i="3" s="1"/>
  <c r="CB272" i="3" s="1"/>
  <c r="BZ163" i="3"/>
  <c r="CA163" i="3" s="1"/>
  <c r="CB163" i="3" s="1"/>
  <c r="BZ104" i="3"/>
  <c r="CA104" i="3" s="1"/>
  <c r="CB104" i="3" s="1"/>
  <c r="BZ130" i="3"/>
  <c r="CA130" i="3" s="1"/>
  <c r="CB130" i="3" s="1"/>
  <c r="BZ48" i="3"/>
  <c r="CA48" i="3" s="1"/>
  <c r="CB48" i="3" s="1"/>
  <c r="BZ266" i="3"/>
  <c r="CA266" i="3" s="1"/>
  <c r="CB266" i="3" s="1"/>
  <c r="BZ101" i="3"/>
  <c r="CA101" i="3" s="1"/>
  <c r="CB101" i="3" s="1"/>
  <c r="BZ172" i="3"/>
  <c r="CA172" i="3" s="1"/>
  <c r="CB172" i="3" s="1"/>
  <c r="BZ256" i="3"/>
  <c r="CA256" i="3" s="1"/>
  <c r="CB256" i="3" s="1"/>
  <c r="BZ147" i="3"/>
  <c r="CA147" i="3" s="1"/>
  <c r="CB147" i="3" s="1"/>
  <c r="BZ175" i="3"/>
  <c r="CA175" i="3" s="1"/>
  <c r="CB175" i="3" s="1"/>
  <c r="BZ90" i="3"/>
  <c r="CA90" i="3" s="1"/>
  <c r="CB90" i="3" s="1"/>
  <c r="BZ193" i="3"/>
  <c r="CA193" i="3" s="1"/>
  <c r="CB193" i="3" s="1"/>
  <c r="BZ250" i="3"/>
  <c r="CA250" i="3" s="1"/>
  <c r="CB250" i="3" s="1"/>
  <c r="BZ85" i="3"/>
  <c r="CA85" i="3" s="1"/>
  <c r="CB85" i="3" s="1"/>
  <c r="BZ152" i="3"/>
  <c r="CA152" i="3" s="1"/>
  <c r="CB152" i="3" s="1"/>
  <c r="AV55" i="3" l="1"/>
  <c r="BD73" i="3"/>
  <c r="BE165" i="3"/>
  <c r="BD165" i="3"/>
  <c r="BD187" i="3"/>
  <c r="AV56" i="3" l="1"/>
  <c r="BD6" i="3"/>
  <c r="BD7" i="3"/>
  <c r="BD8" i="3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2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56" i="3"/>
  <c r="BD57" i="3"/>
  <c r="BD58" i="3"/>
  <c r="BD59" i="3"/>
  <c r="BD60" i="3"/>
  <c r="BD61" i="3"/>
  <c r="BD62" i="3"/>
  <c r="BD63" i="3"/>
  <c r="BD64" i="3"/>
  <c r="BD65" i="3"/>
  <c r="BD66" i="3"/>
  <c r="BD67" i="3"/>
  <c r="BD68" i="3"/>
  <c r="BD69" i="3"/>
  <c r="BD70" i="3"/>
  <c r="BD71" i="3"/>
  <c r="BD72" i="3"/>
  <c r="BD74" i="3"/>
  <c r="BD75" i="3"/>
  <c r="BD76" i="3"/>
  <c r="BD77" i="3"/>
  <c r="BD78" i="3"/>
  <c r="BD79" i="3"/>
  <c r="BD80" i="3"/>
  <c r="BD81" i="3"/>
  <c r="BD82" i="3"/>
  <c r="BD83" i="3"/>
  <c r="BD84" i="3"/>
  <c r="BD85" i="3"/>
  <c r="BD86" i="3"/>
  <c r="BD87" i="3"/>
  <c r="BD88" i="3"/>
  <c r="BD89" i="3"/>
  <c r="BD90" i="3"/>
  <c r="BD91" i="3"/>
  <c r="BD92" i="3"/>
  <c r="BD93" i="3"/>
  <c r="BD94" i="3"/>
  <c r="BD95" i="3"/>
  <c r="BD96" i="3"/>
  <c r="BD97" i="3"/>
  <c r="BD98" i="3"/>
  <c r="BD99" i="3"/>
  <c r="BD100" i="3"/>
  <c r="BD101" i="3"/>
  <c r="BD102" i="3"/>
  <c r="BD103" i="3"/>
  <c r="BD104" i="3"/>
  <c r="BD105" i="3"/>
  <c r="BD106" i="3"/>
  <c r="BD107" i="3"/>
  <c r="BD108" i="3"/>
  <c r="BD109" i="3"/>
  <c r="BD110" i="3"/>
  <c r="BD111" i="3"/>
  <c r="BD112" i="3"/>
  <c r="BD113" i="3"/>
  <c r="BD114" i="3"/>
  <c r="BD115" i="3"/>
  <c r="BD116" i="3"/>
  <c r="BD117" i="3"/>
  <c r="BD118" i="3"/>
  <c r="BD119" i="3"/>
  <c r="BD120" i="3"/>
  <c r="BD121" i="3"/>
  <c r="BD122" i="3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36" i="3"/>
  <c r="BD137" i="3"/>
  <c r="BD138" i="3"/>
  <c r="BD139" i="3"/>
  <c r="BD140" i="3"/>
  <c r="BD141" i="3"/>
  <c r="BD142" i="3"/>
  <c r="BD143" i="3"/>
  <c r="BD144" i="3"/>
  <c r="BD145" i="3"/>
  <c r="BD146" i="3"/>
  <c r="BD147" i="3"/>
  <c r="BD148" i="3"/>
  <c r="BD149" i="3"/>
  <c r="BD150" i="3"/>
  <c r="BD151" i="3"/>
  <c r="BD152" i="3"/>
  <c r="BD153" i="3"/>
  <c r="BD154" i="3"/>
  <c r="BD155" i="3"/>
  <c r="BD156" i="3"/>
  <c r="BD157" i="3"/>
  <c r="BD158" i="3"/>
  <c r="BD159" i="3"/>
  <c r="BD160" i="3"/>
  <c r="BD161" i="3"/>
  <c r="BD162" i="3"/>
  <c r="BD163" i="3"/>
  <c r="BD164" i="3"/>
  <c r="BD166" i="3"/>
  <c r="BD167" i="3"/>
  <c r="BD168" i="3"/>
  <c r="BD169" i="3"/>
  <c r="BD170" i="3"/>
  <c r="BD171" i="3"/>
  <c r="BD172" i="3"/>
  <c r="BD173" i="3"/>
  <c r="BD174" i="3"/>
  <c r="BD175" i="3"/>
  <c r="BD176" i="3"/>
  <c r="BD177" i="3"/>
  <c r="BD178" i="3"/>
  <c r="BD179" i="3"/>
  <c r="BD180" i="3"/>
  <c r="BD181" i="3"/>
  <c r="BD182" i="3"/>
  <c r="BD183" i="3"/>
  <c r="BD184" i="3"/>
  <c r="BD185" i="3"/>
  <c r="BD186" i="3"/>
  <c r="BD188" i="3"/>
  <c r="BD189" i="3"/>
  <c r="BD190" i="3"/>
  <c r="BD191" i="3"/>
  <c r="BD192" i="3"/>
  <c r="BD193" i="3"/>
  <c r="BD194" i="3"/>
  <c r="BD195" i="3"/>
  <c r="BD196" i="3"/>
  <c r="BD197" i="3"/>
  <c r="BD198" i="3"/>
  <c r="BD199" i="3"/>
  <c r="BD200" i="3"/>
  <c r="BD201" i="3"/>
  <c r="BD202" i="3"/>
  <c r="BD203" i="3"/>
  <c r="BD204" i="3"/>
  <c r="BD205" i="3"/>
  <c r="BD206" i="3"/>
  <c r="BD207" i="3"/>
  <c r="BD208" i="3"/>
  <c r="BD209" i="3"/>
  <c r="BD210" i="3"/>
  <c r="BD211" i="3"/>
  <c r="BD212" i="3"/>
  <c r="BD213" i="3"/>
  <c r="BD214" i="3"/>
  <c r="BD215" i="3"/>
  <c r="BD216" i="3"/>
  <c r="BD217" i="3"/>
  <c r="BD218" i="3"/>
  <c r="BD219" i="3"/>
  <c r="BD220" i="3"/>
  <c r="BD221" i="3"/>
  <c r="BD222" i="3"/>
  <c r="BD223" i="3"/>
  <c r="BD224" i="3"/>
  <c r="BD225" i="3"/>
  <c r="BD226" i="3"/>
  <c r="BD227" i="3"/>
  <c r="BD228" i="3"/>
  <c r="BD229" i="3"/>
  <c r="BD230" i="3"/>
  <c r="BD231" i="3"/>
  <c r="BD232" i="3"/>
  <c r="BD233" i="3"/>
  <c r="BD234" i="3"/>
  <c r="BD235" i="3"/>
  <c r="BD236" i="3"/>
  <c r="BD237" i="3"/>
  <c r="BD238" i="3"/>
  <c r="BD239" i="3"/>
  <c r="BD240" i="3"/>
  <c r="BD241" i="3"/>
  <c r="BD242" i="3"/>
  <c r="BD243" i="3"/>
  <c r="BD244" i="3"/>
  <c r="BD245" i="3"/>
  <c r="BD246" i="3"/>
  <c r="BD247" i="3"/>
  <c r="BD248" i="3"/>
  <c r="BD249" i="3"/>
  <c r="BD250" i="3"/>
  <c r="BD251" i="3"/>
  <c r="BD252" i="3"/>
  <c r="BD253" i="3"/>
  <c r="BD254" i="3"/>
  <c r="BD255" i="3"/>
  <c r="BD256" i="3"/>
  <c r="BD257" i="3"/>
  <c r="BD258" i="3"/>
  <c r="BD259" i="3"/>
  <c r="BD260" i="3"/>
  <c r="BD261" i="3"/>
  <c r="BD262" i="3"/>
  <c r="BD263" i="3"/>
  <c r="BD264" i="3"/>
  <c r="BD265" i="3"/>
  <c r="BD266" i="3"/>
  <c r="BD267" i="3"/>
  <c r="BD268" i="3"/>
  <c r="BD269" i="3"/>
  <c r="BD270" i="3"/>
  <c r="BD271" i="3"/>
  <c r="BD272" i="3"/>
  <c r="BD273" i="3"/>
  <c r="BD274" i="3"/>
  <c r="BD275" i="3"/>
  <c r="BD276" i="3"/>
  <c r="BD277" i="3"/>
  <c r="BD278" i="3"/>
  <c r="BD279" i="3"/>
  <c r="BD280" i="3"/>
  <c r="BD281" i="3"/>
  <c r="BD282" i="3"/>
  <c r="BD283" i="3"/>
  <c r="BD284" i="3"/>
  <c r="BD285" i="3"/>
  <c r="BD286" i="3"/>
  <c r="BD287" i="3"/>
  <c r="BD288" i="3"/>
  <c r="BD289" i="3"/>
  <c r="BD290" i="3"/>
  <c r="AV57" i="3" l="1"/>
  <c r="BE6" i="3"/>
  <c r="BE7" i="3"/>
  <c r="BE8" i="3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E54" i="3"/>
  <c r="BE55" i="3"/>
  <c r="BE56" i="3"/>
  <c r="BE57" i="3"/>
  <c r="BE58" i="3"/>
  <c r="BE59" i="3"/>
  <c r="BE60" i="3"/>
  <c r="BE61" i="3"/>
  <c r="BE62" i="3"/>
  <c r="BE63" i="3"/>
  <c r="BE64" i="3"/>
  <c r="BE65" i="3"/>
  <c r="BE66" i="3"/>
  <c r="BE67" i="3"/>
  <c r="BE68" i="3"/>
  <c r="BE69" i="3"/>
  <c r="BE70" i="3"/>
  <c r="BE71" i="3"/>
  <c r="BE72" i="3"/>
  <c r="BE73" i="3"/>
  <c r="BE74" i="3"/>
  <c r="BE75" i="3"/>
  <c r="BE76" i="3"/>
  <c r="BE77" i="3"/>
  <c r="BE78" i="3"/>
  <c r="BE79" i="3"/>
  <c r="BE80" i="3"/>
  <c r="BE81" i="3"/>
  <c r="BE82" i="3"/>
  <c r="BE83" i="3"/>
  <c r="BE84" i="3"/>
  <c r="BE85" i="3"/>
  <c r="BE86" i="3"/>
  <c r="BE87" i="3"/>
  <c r="BE88" i="3"/>
  <c r="BE89" i="3"/>
  <c r="BE90" i="3"/>
  <c r="BE91" i="3"/>
  <c r="BE92" i="3"/>
  <c r="BE93" i="3"/>
  <c r="BE94" i="3"/>
  <c r="BE95" i="3"/>
  <c r="BE96" i="3"/>
  <c r="BE97" i="3"/>
  <c r="BE98" i="3"/>
  <c r="BE99" i="3"/>
  <c r="BE100" i="3"/>
  <c r="BE101" i="3"/>
  <c r="BE102" i="3"/>
  <c r="BE103" i="3"/>
  <c r="BE104" i="3"/>
  <c r="BE105" i="3"/>
  <c r="BE106" i="3"/>
  <c r="BE107" i="3"/>
  <c r="BE108" i="3"/>
  <c r="BE109" i="3"/>
  <c r="BE110" i="3"/>
  <c r="BE111" i="3"/>
  <c r="BE112" i="3"/>
  <c r="BE113" i="3"/>
  <c r="BE11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BE154" i="3"/>
  <c r="BE155" i="3"/>
  <c r="BE156" i="3"/>
  <c r="BE157" i="3"/>
  <c r="BE158" i="3"/>
  <c r="BE159" i="3"/>
  <c r="BE160" i="3"/>
  <c r="BE161" i="3"/>
  <c r="BE162" i="3"/>
  <c r="BE163" i="3"/>
  <c r="BE164" i="3"/>
  <c r="BE166" i="3"/>
  <c r="BE167" i="3"/>
  <c r="BE168" i="3"/>
  <c r="BE169" i="3"/>
  <c r="BE170" i="3"/>
  <c r="BE171" i="3"/>
  <c r="BE172" i="3"/>
  <c r="BE173" i="3"/>
  <c r="BE174" i="3"/>
  <c r="BE175" i="3"/>
  <c r="BE176" i="3"/>
  <c r="BE177" i="3"/>
  <c r="BE178" i="3"/>
  <c r="BE179" i="3"/>
  <c r="BE180" i="3"/>
  <c r="BE181" i="3"/>
  <c r="BE182" i="3"/>
  <c r="BE183" i="3"/>
  <c r="BE184" i="3"/>
  <c r="BE185" i="3"/>
  <c r="BE186" i="3"/>
  <c r="BE187" i="3"/>
  <c r="BE188" i="3"/>
  <c r="BE189" i="3"/>
  <c r="BE190" i="3"/>
  <c r="BE191" i="3"/>
  <c r="BE192" i="3"/>
  <c r="BE193" i="3"/>
  <c r="BE194" i="3"/>
  <c r="BE195" i="3"/>
  <c r="BE196" i="3"/>
  <c r="BE197" i="3"/>
  <c r="BE198" i="3"/>
  <c r="BE199" i="3"/>
  <c r="BE200" i="3"/>
  <c r="BE201" i="3"/>
  <c r="BE202" i="3"/>
  <c r="BE203" i="3"/>
  <c r="BE204" i="3"/>
  <c r="BE205" i="3"/>
  <c r="BE206" i="3"/>
  <c r="BE207" i="3"/>
  <c r="BE208" i="3"/>
  <c r="BE209" i="3"/>
  <c r="BE210" i="3"/>
  <c r="BE211" i="3"/>
  <c r="BE212" i="3"/>
  <c r="BE213" i="3"/>
  <c r="BE214" i="3"/>
  <c r="BE215" i="3"/>
  <c r="BE216" i="3"/>
  <c r="BE217" i="3"/>
  <c r="BE218" i="3"/>
  <c r="BE219" i="3"/>
  <c r="BE220" i="3"/>
  <c r="BE221" i="3"/>
  <c r="BE222" i="3"/>
  <c r="BE223" i="3"/>
  <c r="BE224" i="3"/>
  <c r="BE225" i="3"/>
  <c r="BE226" i="3"/>
  <c r="BE227" i="3"/>
  <c r="BE228" i="3"/>
  <c r="BE229" i="3"/>
  <c r="BE230" i="3"/>
  <c r="BE231" i="3"/>
  <c r="BE232" i="3"/>
  <c r="BE233" i="3"/>
  <c r="BE234" i="3"/>
  <c r="BE235" i="3"/>
  <c r="BE236" i="3"/>
  <c r="BE237" i="3"/>
  <c r="BE238" i="3"/>
  <c r="BE239" i="3"/>
  <c r="BE240" i="3"/>
  <c r="BE241" i="3"/>
  <c r="BE242" i="3"/>
  <c r="BE243" i="3"/>
  <c r="BE244" i="3"/>
  <c r="BE245" i="3"/>
  <c r="BE246" i="3"/>
  <c r="BE247" i="3"/>
  <c r="BE248" i="3"/>
  <c r="BE249" i="3"/>
  <c r="BE250" i="3"/>
  <c r="BE251" i="3"/>
  <c r="BE252" i="3"/>
  <c r="BE253" i="3"/>
  <c r="BE254" i="3"/>
  <c r="BE255" i="3"/>
  <c r="BE256" i="3"/>
  <c r="BE257" i="3"/>
  <c r="BE258" i="3"/>
  <c r="BE259" i="3"/>
  <c r="BE260" i="3"/>
  <c r="BE261" i="3"/>
  <c r="BE262" i="3"/>
  <c r="BE263" i="3"/>
  <c r="BE264" i="3"/>
  <c r="BE265" i="3"/>
  <c r="BE266" i="3"/>
  <c r="BE267" i="3"/>
  <c r="BE268" i="3"/>
  <c r="BE269" i="3"/>
  <c r="BE270" i="3"/>
  <c r="BE271" i="3"/>
  <c r="BE272" i="3"/>
  <c r="BE273" i="3"/>
  <c r="BE274" i="3"/>
  <c r="BE275" i="3"/>
  <c r="BE276" i="3"/>
  <c r="BE277" i="3"/>
  <c r="BE278" i="3"/>
  <c r="BE279" i="3"/>
  <c r="BE280" i="3"/>
  <c r="BE281" i="3"/>
  <c r="BE282" i="3"/>
  <c r="BE283" i="3"/>
  <c r="BE284" i="3"/>
  <c r="BE285" i="3"/>
  <c r="BE286" i="3"/>
  <c r="BE287" i="3"/>
  <c r="BE288" i="3"/>
  <c r="BE289" i="3"/>
  <c r="BE290" i="3"/>
  <c r="BE5" i="3"/>
  <c r="BD5" i="3"/>
  <c r="BD4" i="3" s="1"/>
  <c r="AV59" i="3" l="1"/>
  <c r="BE4" i="3"/>
  <c r="AV63" i="3" l="1"/>
  <c r="P6" i="3"/>
  <c r="AV65" i="3" l="1"/>
  <c r="I244" i="3"/>
  <c r="AV66" i="3" l="1"/>
  <c r="CY287" i="3"/>
  <c r="AU287" i="3" s="1"/>
  <c r="CY288" i="3"/>
  <c r="AU288" i="3" s="1"/>
  <c r="CY290" i="3"/>
  <c r="AU290" i="3" s="1"/>
  <c r="CY9" i="3"/>
  <c r="AU9" i="3" s="1"/>
  <c r="CY10" i="3"/>
  <c r="AU10" i="3" s="1"/>
  <c r="CY14" i="3"/>
  <c r="AU14" i="3" s="1"/>
  <c r="CY17" i="3"/>
  <c r="AU17" i="3" s="1"/>
  <c r="CY19" i="3"/>
  <c r="AU19" i="3" s="1"/>
  <c r="CY20" i="3"/>
  <c r="AU20" i="3" s="1"/>
  <c r="CY21" i="3"/>
  <c r="AU21" i="3" s="1"/>
  <c r="CY22" i="3"/>
  <c r="AU22" i="3" s="1"/>
  <c r="CY23" i="3"/>
  <c r="AU23" i="3" s="1"/>
  <c r="CY25" i="3"/>
  <c r="AU25" i="3" s="1"/>
  <c r="CY27" i="3"/>
  <c r="AU27" i="3" s="1"/>
  <c r="CY28" i="3"/>
  <c r="AU28" i="3" s="1"/>
  <c r="CY31" i="3"/>
  <c r="AU31" i="3" s="1"/>
  <c r="CY32" i="3"/>
  <c r="AU32" i="3" s="1"/>
  <c r="CY33" i="3"/>
  <c r="AU33" i="3" s="1"/>
  <c r="CY34" i="3"/>
  <c r="AU34" i="3" s="1"/>
  <c r="CY35" i="3"/>
  <c r="AU35" i="3" s="1"/>
  <c r="CY36" i="3"/>
  <c r="AU36" i="3" s="1"/>
  <c r="CY37" i="3"/>
  <c r="AU37" i="3" s="1"/>
  <c r="CY38" i="3"/>
  <c r="AU38" i="3" s="1"/>
  <c r="CY39" i="3"/>
  <c r="AU39" i="3" s="1"/>
  <c r="CY40" i="3"/>
  <c r="AU40" i="3" s="1"/>
  <c r="CY42" i="3"/>
  <c r="AU42" i="3" s="1"/>
  <c r="CY43" i="3"/>
  <c r="AU43" i="3" s="1"/>
  <c r="CY44" i="3"/>
  <c r="AU44" i="3" s="1"/>
  <c r="CY46" i="3"/>
  <c r="AU46" i="3" s="1"/>
  <c r="CY47" i="3"/>
  <c r="AU47" i="3" s="1"/>
  <c r="CY49" i="3"/>
  <c r="AU49" i="3" s="1"/>
  <c r="CY51" i="3"/>
  <c r="AU51" i="3" s="1"/>
  <c r="CY52" i="3"/>
  <c r="AU52" i="3" s="1"/>
  <c r="CY53" i="3"/>
  <c r="AU53" i="3" s="1"/>
  <c r="CY54" i="3"/>
  <c r="AU54" i="3" s="1"/>
  <c r="CY55" i="3"/>
  <c r="AU55" i="3" s="1"/>
  <c r="CY56" i="3"/>
  <c r="AU56" i="3" s="1"/>
  <c r="CY57" i="3"/>
  <c r="AU57" i="3" s="1"/>
  <c r="CY58" i="3"/>
  <c r="AU58" i="3" s="1"/>
  <c r="CY59" i="3"/>
  <c r="AU59" i="3" s="1"/>
  <c r="CY60" i="3"/>
  <c r="AU60" i="3" s="1"/>
  <c r="CY61" i="3"/>
  <c r="AU61" i="3" s="1"/>
  <c r="CY62" i="3"/>
  <c r="AU62" i="3" s="1"/>
  <c r="CY63" i="3"/>
  <c r="AU63" i="3" s="1"/>
  <c r="CY64" i="3"/>
  <c r="AU64" i="3" s="1"/>
  <c r="CY66" i="3"/>
  <c r="AU66" i="3" s="1"/>
  <c r="CY67" i="3"/>
  <c r="AU67" i="3" s="1"/>
  <c r="CY69" i="3"/>
  <c r="AU69" i="3" s="1"/>
  <c r="CY70" i="3"/>
  <c r="AU70" i="3" s="1"/>
  <c r="CY72" i="3"/>
  <c r="AU72" i="3" s="1"/>
  <c r="CY82" i="3"/>
  <c r="AU82" i="3" s="1"/>
  <c r="CY83" i="3"/>
  <c r="AU83" i="3" s="1"/>
  <c r="CY84" i="3"/>
  <c r="AU84" i="3" s="1"/>
  <c r="CY85" i="3"/>
  <c r="AU85" i="3" s="1"/>
  <c r="CY86" i="3"/>
  <c r="AU86" i="3" s="1"/>
  <c r="CY87" i="3"/>
  <c r="AU87" i="3" s="1"/>
  <c r="CY88" i="3"/>
  <c r="AU88" i="3" s="1"/>
  <c r="CY89" i="3"/>
  <c r="AU89" i="3" s="1"/>
  <c r="CY90" i="3"/>
  <c r="AU90" i="3" s="1"/>
  <c r="CY91" i="3"/>
  <c r="AU91" i="3" s="1"/>
  <c r="CY93" i="3"/>
  <c r="AU93" i="3" s="1"/>
  <c r="CY94" i="3"/>
  <c r="AU94" i="3" s="1"/>
  <c r="CY95" i="3"/>
  <c r="AU95" i="3" s="1"/>
  <c r="CY96" i="3"/>
  <c r="AU96" i="3" s="1"/>
  <c r="CY98" i="3"/>
  <c r="AU98" i="3" s="1"/>
  <c r="CY100" i="3"/>
  <c r="AU100" i="3" s="1"/>
  <c r="CY102" i="3"/>
  <c r="AU102" i="3" s="1"/>
  <c r="CY103" i="3"/>
  <c r="AU103" i="3" s="1"/>
  <c r="CY104" i="3"/>
  <c r="AU104" i="3" s="1"/>
  <c r="CY105" i="3"/>
  <c r="AU105" i="3" s="1"/>
  <c r="CY109" i="3"/>
  <c r="AU109" i="3" s="1"/>
  <c r="CY111" i="3"/>
  <c r="AU111" i="3" s="1"/>
  <c r="CY112" i="3"/>
  <c r="AU112" i="3" s="1"/>
  <c r="CY115" i="3"/>
  <c r="AU115" i="3" s="1"/>
  <c r="CY118" i="3"/>
  <c r="AU118" i="3" s="1"/>
  <c r="CY120" i="3"/>
  <c r="AU120" i="3" s="1"/>
  <c r="CY121" i="3"/>
  <c r="AU121" i="3" s="1"/>
  <c r="CY124" i="3"/>
  <c r="AU124" i="3" s="1"/>
  <c r="CY125" i="3"/>
  <c r="AU125" i="3" s="1"/>
  <c r="CY127" i="3"/>
  <c r="AU127" i="3" s="1"/>
  <c r="CY128" i="3"/>
  <c r="AU128" i="3" s="1"/>
  <c r="CY132" i="3"/>
  <c r="AU132" i="3" s="1"/>
  <c r="CY133" i="3"/>
  <c r="AU133" i="3" s="1"/>
  <c r="CY134" i="3"/>
  <c r="AU134" i="3" s="1"/>
  <c r="CY136" i="3"/>
  <c r="AU136" i="3" s="1"/>
  <c r="CY137" i="3"/>
  <c r="AU137" i="3" s="1"/>
  <c r="CY138" i="3"/>
  <c r="AU138" i="3" s="1"/>
  <c r="CY141" i="3"/>
  <c r="AU141" i="3" s="1"/>
  <c r="CY144" i="3"/>
  <c r="AU144" i="3" s="1"/>
  <c r="CY146" i="3"/>
  <c r="AU146" i="3" s="1"/>
  <c r="CY148" i="3"/>
  <c r="AU148" i="3" s="1"/>
  <c r="CY149" i="3"/>
  <c r="AU149" i="3" s="1"/>
  <c r="CY150" i="3"/>
  <c r="AU150" i="3" s="1"/>
  <c r="CY151" i="3"/>
  <c r="AU151" i="3" s="1"/>
  <c r="CY152" i="3"/>
  <c r="AU152" i="3" s="1"/>
  <c r="CY153" i="3"/>
  <c r="AU153" i="3" s="1"/>
  <c r="CY155" i="3"/>
  <c r="AU155" i="3" s="1"/>
  <c r="CY156" i="3"/>
  <c r="AU156" i="3" s="1"/>
  <c r="CY157" i="3"/>
  <c r="AU157" i="3" s="1"/>
  <c r="CY158" i="3"/>
  <c r="AU158" i="3" s="1"/>
  <c r="CY159" i="3"/>
  <c r="AU159" i="3" s="1"/>
  <c r="CY160" i="3"/>
  <c r="AU160" i="3" s="1"/>
  <c r="CY162" i="3"/>
  <c r="AU162" i="3" s="1"/>
  <c r="CY163" i="3"/>
  <c r="AU163" i="3" s="1"/>
  <c r="CY164" i="3"/>
  <c r="AU164" i="3" s="1"/>
  <c r="CY166" i="3"/>
  <c r="AU166" i="3" s="1"/>
  <c r="CY167" i="3"/>
  <c r="AU167" i="3" s="1"/>
  <c r="CY169" i="3"/>
  <c r="AU169" i="3" s="1"/>
  <c r="CY171" i="3"/>
  <c r="AU171" i="3" s="1"/>
  <c r="CY173" i="3"/>
  <c r="AU173" i="3" s="1"/>
  <c r="CY174" i="3"/>
  <c r="AU174" i="3" s="1"/>
  <c r="CY176" i="3"/>
  <c r="AU176" i="3" s="1"/>
  <c r="CY179" i="3"/>
  <c r="AU179" i="3" s="1"/>
  <c r="CY182" i="3"/>
  <c r="AU182" i="3" s="1"/>
  <c r="CY183" i="3"/>
  <c r="AU183" i="3" s="1"/>
  <c r="CY184" i="3"/>
  <c r="AU184" i="3" s="1"/>
  <c r="CY189" i="3"/>
  <c r="AU189" i="3" s="1"/>
  <c r="CY191" i="3"/>
  <c r="AU191" i="3" s="1"/>
  <c r="CY192" i="3"/>
  <c r="AU192" i="3" s="1"/>
  <c r="CY193" i="3"/>
  <c r="AU193" i="3" s="1"/>
  <c r="CY195" i="3"/>
  <c r="AU195" i="3" s="1"/>
  <c r="CY198" i="3"/>
  <c r="AU198" i="3" s="1"/>
  <c r="CY201" i="3"/>
  <c r="AU201" i="3" s="1"/>
  <c r="CY202" i="3"/>
  <c r="AU202" i="3" s="1"/>
  <c r="CY203" i="3"/>
  <c r="AU203" i="3" s="1"/>
  <c r="CY205" i="3"/>
  <c r="AU205" i="3" s="1"/>
  <c r="CY206" i="3"/>
  <c r="AU206" i="3" s="1"/>
  <c r="CY208" i="3"/>
  <c r="AU208" i="3" s="1"/>
  <c r="CY209" i="3"/>
  <c r="AU209" i="3" s="1"/>
  <c r="CY212" i="3"/>
  <c r="AU212" i="3" s="1"/>
  <c r="CY213" i="3"/>
  <c r="AU213" i="3" s="1"/>
  <c r="CY216" i="3"/>
  <c r="AU216" i="3" s="1"/>
  <c r="CY217" i="3"/>
  <c r="AU217" i="3" s="1"/>
  <c r="CY218" i="3"/>
  <c r="AU218" i="3" s="1"/>
  <c r="CY219" i="3"/>
  <c r="AU219" i="3" s="1"/>
  <c r="CY220" i="3"/>
  <c r="AU220" i="3" s="1"/>
  <c r="CY221" i="3"/>
  <c r="AU221" i="3" s="1"/>
  <c r="CY222" i="3"/>
  <c r="AU222" i="3" s="1"/>
  <c r="CY231" i="3"/>
  <c r="AU231" i="3" s="1"/>
  <c r="CY232" i="3"/>
  <c r="AU232" i="3" s="1"/>
  <c r="CY234" i="3"/>
  <c r="AU234" i="3" s="1"/>
  <c r="CY235" i="3"/>
  <c r="AU235" i="3" s="1"/>
  <c r="CY237" i="3"/>
  <c r="AU237" i="3" s="1"/>
  <c r="CY239" i="3"/>
  <c r="AU239" i="3" s="1"/>
  <c r="CY240" i="3"/>
  <c r="AU240" i="3" s="1"/>
  <c r="CY241" i="3"/>
  <c r="AU241" i="3" s="1"/>
  <c r="CY243" i="3"/>
  <c r="AU243" i="3" s="1"/>
  <c r="CY245" i="3"/>
  <c r="AU245" i="3" s="1"/>
  <c r="CY246" i="3"/>
  <c r="AU246" i="3" s="1"/>
  <c r="CY247" i="3"/>
  <c r="AU247" i="3" s="1"/>
  <c r="CY256" i="3"/>
  <c r="AU256" i="3" s="1"/>
  <c r="CY257" i="3"/>
  <c r="AU257" i="3" s="1"/>
  <c r="CY258" i="3"/>
  <c r="AU258" i="3" s="1"/>
  <c r="CY259" i="3"/>
  <c r="AU259" i="3" s="1"/>
  <c r="CY260" i="3"/>
  <c r="AU260" i="3" s="1"/>
  <c r="CY261" i="3"/>
  <c r="AU261" i="3" s="1"/>
  <c r="CY262" i="3"/>
  <c r="AU262" i="3" s="1"/>
  <c r="CY263" i="3"/>
  <c r="AU263" i="3" s="1"/>
  <c r="CY266" i="3"/>
  <c r="AU266" i="3" s="1"/>
  <c r="CY267" i="3"/>
  <c r="AU267" i="3" s="1"/>
  <c r="CY268" i="3"/>
  <c r="AU268" i="3" s="1"/>
  <c r="CY269" i="3"/>
  <c r="AU269" i="3" s="1"/>
  <c r="CY270" i="3"/>
  <c r="AU270" i="3" s="1"/>
  <c r="CY271" i="3"/>
  <c r="AU271" i="3" s="1"/>
  <c r="CY272" i="3"/>
  <c r="AU272" i="3" s="1"/>
  <c r="CY273" i="3"/>
  <c r="AU273" i="3" s="1"/>
  <c r="CY274" i="3"/>
  <c r="AU274" i="3" s="1"/>
  <c r="CY278" i="3"/>
  <c r="AU278" i="3" s="1"/>
  <c r="CY279" i="3"/>
  <c r="AU279" i="3" s="1"/>
  <c r="CY281" i="3"/>
  <c r="AU281" i="3" s="1"/>
  <c r="CY283" i="3"/>
  <c r="AU283" i="3" s="1"/>
  <c r="CY285" i="3"/>
  <c r="AU285" i="3" s="1"/>
  <c r="CY6" i="3"/>
  <c r="AU6" i="3" s="1"/>
  <c r="CY7" i="3"/>
  <c r="AU7" i="3" s="1"/>
  <c r="AV74" i="3" l="1"/>
  <c r="BF5" i="3"/>
  <c r="BY5" i="3"/>
  <c r="CO5" i="3"/>
  <c r="CQ5" i="3"/>
  <c r="CS5" i="3"/>
  <c r="CU5" i="3"/>
  <c r="BF6" i="3"/>
  <c r="CO6" i="3"/>
  <c r="CQ6" i="3"/>
  <c r="CS6" i="3"/>
  <c r="CU6" i="3"/>
  <c r="BF7" i="3"/>
  <c r="CO7" i="3"/>
  <c r="CQ7" i="3"/>
  <c r="CS7" i="3"/>
  <c r="CU7" i="3"/>
  <c r="BF8" i="3"/>
  <c r="CO8" i="3"/>
  <c r="CQ8" i="3"/>
  <c r="CS8" i="3"/>
  <c r="CU8" i="3"/>
  <c r="BF9" i="3"/>
  <c r="CO9" i="3"/>
  <c r="CQ9" i="3"/>
  <c r="CS9" i="3"/>
  <c r="CU9" i="3"/>
  <c r="BF10" i="3"/>
  <c r="CO10" i="3"/>
  <c r="CQ10" i="3"/>
  <c r="CS10" i="3"/>
  <c r="CU10" i="3"/>
  <c r="BF11" i="3"/>
  <c r="CO11" i="3"/>
  <c r="CQ11" i="3"/>
  <c r="CS11" i="3"/>
  <c r="CU11" i="3"/>
  <c r="BF12" i="3"/>
  <c r="CO12" i="3"/>
  <c r="CQ12" i="3"/>
  <c r="CS12" i="3"/>
  <c r="CU12" i="3"/>
  <c r="BF13" i="3"/>
  <c r="CO13" i="3"/>
  <c r="CQ13" i="3"/>
  <c r="CS13" i="3"/>
  <c r="CU13" i="3"/>
  <c r="BF14" i="3"/>
  <c r="CO14" i="3"/>
  <c r="CQ14" i="3"/>
  <c r="CS14" i="3"/>
  <c r="CU14" i="3"/>
  <c r="BF15" i="3"/>
  <c r="CO15" i="3"/>
  <c r="CQ15" i="3"/>
  <c r="CS15" i="3"/>
  <c r="CU15" i="3"/>
  <c r="BF16" i="3"/>
  <c r="CO16" i="3"/>
  <c r="CQ16" i="3"/>
  <c r="CS16" i="3"/>
  <c r="CU16" i="3"/>
  <c r="BF17" i="3"/>
  <c r="CO17" i="3"/>
  <c r="CQ17" i="3"/>
  <c r="CS17" i="3"/>
  <c r="CU17" i="3"/>
  <c r="BF18" i="3"/>
  <c r="CO18" i="3"/>
  <c r="CQ18" i="3"/>
  <c r="CS18" i="3"/>
  <c r="CU18" i="3"/>
  <c r="BF19" i="3"/>
  <c r="CO19" i="3"/>
  <c r="CQ19" i="3"/>
  <c r="CS19" i="3"/>
  <c r="CU19" i="3"/>
  <c r="BF20" i="3"/>
  <c r="CO20" i="3"/>
  <c r="CQ20" i="3"/>
  <c r="CS20" i="3"/>
  <c r="CU20" i="3"/>
  <c r="BF21" i="3"/>
  <c r="CO21" i="3"/>
  <c r="CQ21" i="3"/>
  <c r="CS21" i="3"/>
  <c r="CU21" i="3"/>
  <c r="BF22" i="3"/>
  <c r="CO22" i="3"/>
  <c r="CQ22" i="3"/>
  <c r="CS22" i="3"/>
  <c r="CU22" i="3"/>
  <c r="BF23" i="3"/>
  <c r="CO23" i="3"/>
  <c r="CQ23" i="3"/>
  <c r="CS23" i="3"/>
  <c r="CU23" i="3"/>
  <c r="BF24" i="3"/>
  <c r="CO24" i="3"/>
  <c r="CQ24" i="3"/>
  <c r="CS24" i="3"/>
  <c r="CU24" i="3"/>
  <c r="BF25" i="3"/>
  <c r="AJ25" i="3"/>
  <c r="CO25" i="3"/>
  <c r="CQ25" i="3"/>
  <c r="CS25" i="3"/>
  <c r="CU25" i="3"/>
  <c r="BF26" i="3"/>
  <c r="CO26" i="3"/>
  <c r="CQ26" i="3"/>
  <c r="CS26" i="3"/>
  <c r="CU26" i="3"/>
  <c r="BF27" i="3"/>
  <c r="CO27" i="3"/>
  <c r="CQ27" i="3"/>
  <c r="CS27" i="3"/>
  <c r="CU27" i="3"/>
  <c r="BF28" i="3"/>
  <c r="CO28" i="3"/>
  <c r="CQ28" i="3"/>
  <c r="CS28" i="3"/>
  <c r="CU28" i="3"/>
  <c r="BF29" i="3"/>
  <c r="CO29" i="3"/>
  <c r="CQ29" i="3"/>
  <c r="CS29" i="3"/>
  <c r="CU29" i="3"/>
  <c r="BF30" i="3"/>
  <c r="CO30" i="3"/>
  <c r="CQ30" i="3"/>
  <c r="CS30" i="3"/>
  <c r="CU30" i="3"/>
  <c r="BF31" i="3"/>
  <c r="CO31" i="3"/>
  <c r="CQ31" i="3"/>
  <c r="CS31" i="3"/>
  <c r="CU31" i="3"/>
  <c r="BF32" i="3"/>
  <c r="CO32" i="3"/>
  <c r="CQ32" i="3"/>
  <c r="CS32" i="3"/>
  <c r="CU32" i="3"/>
  <c r="BF33" i="3"/>
  <c r="CO33" i="3"/>
  <c r="CQ33" i="3"/>
  <c r="CS33" i="3"/>
  <c r="CU33" i="3"/>
  <c r="BF34" i="3"/>
  <c r="CO34" i="3"/>
  <c r="CQ34" i="3"/>
  <c r="CS34" i="3"/>
  <c r="CU34" i="3"/>
  <c r="BF35" i="3"/>
  <c r="CO35" i="3"/>
  <c r="CQ35" i="3"/>
  <c r="CS35" i="3"/>
  <c r="CU35" i="3"/>
  <c r="BF36" i="3"/>
  <c r="CO36" i="3"/>
  <c r="CQ36" i="3"/>
  <c r="CS36" i="3"/>
  <c r="CU36" i="3"/>
  <c r="BF37" i="3"/>
  <c r="CO37" i="3"/>
  <c r="CQ37" i="3"/>
  <c r="CS37" i="3"/>
  <c r="CU37" i="3"/>
  <c r="BF38" i="3"/>
  <c r="CO38" i="3"/>
  <c r="CQ38" i="3"/>
  <c r="CS38" i="3"/>
  <c r="CU38" i="3"/>
  <c r="BF39" i="3"/>
  <c r="CO39" i="3"/>
  <c r="CQ39" i="3"/>
  <c r="CS39" i="3"/>
  <c r="CU39" i="3"/>
  <c r="BF40" i="3"/>
  <c r="CO40" i="3"/>
  <c r="CQ40" i="3"/>
  <c r="CS40" i="3"/>
  <c r="CU40" i="3"/>
  <c r="BF41" i="3"/>
  <c r="CO41" i="3"/>
  <c r="CQ41" i="3"/>
  <c r="CS41" i="3"/>
  <c r="CU41" i="3"/>
  <c r="BF42" i="3"/>
  <c r="CO42" i="3"/>
  <c r="CQ42" i="3"/>
  <c r="CS42" i="3"/>
  <c r="CU42" i="3"/>
  <c r="BF43" i="3"/>
  <c r="CO43" i="3"/>
  <c r="CQ43" i="3"/>
  <c r="CS43" i="3"/>
  <c r="CU43" i="3"/>
  <c r="BF44" i="3"/>
  <c r="CO44" i="3"/>
  <c r="CQ44" i="3"/>
  <c r="CS44" i="3"/>
  <c r="CU44" i="3"/>
  <c r="BF45" i="3"/>
  <c r="CO45" i="3"/>
  <c r="CQ45" i="3"/>
  <c r="CS45" i="3"/>
  <c r="CU45" i="3"/>
  <c r="BF46" i="3"/>
  <c r="CO46" i="3"/>
  <c r="CQ46" i="3"/>
  <c r="CS46" i="3"/>
  <c r="CU46" i="3"/>
  <c r="BF47" i="3"/>
  <c r="CO47" i="3"/>
  <c r="CQ47" i="3"/>
  <c r="CS47" i="3"/>
  <c r="CU47" i="3"/>
  <c r="BF48" i="3"/>
  <c r="CO48" i="3"/>
  <c r="CQ48" i="3"/>
  <c r="CS48" i="3"/>
  <c r="CU48" i="3"/>
  <c r="BF49" i="3"/>
  <c r="CO49" i="3"/>
  <c r="CQ49" i="3"/>
  <c r="CS49" i="3"/>
  <c r="CU49" i="3"/>
  <c r="BF50" i="3"/>
  <c r="CO50" i="3"/>
  <c r="CQ50" i="3"/>
  <c r="CS50" i="3"/>
  <c r="CU50" i="3"/>
  <c r="BF51" i="3"/>
  <c r="CO51" i="3"/>
  <c r="CQ51" i="3"/>
  <c r="CS51" i="3"/>
  <c r="CU51" i="3"/>
  <c r="BF52" i="3"/>
  <c r="CO52" i="3"/>
  <c r="CQ52" i="3"/>
  <c r="CS52" i="3"/>
  <c r="CU52" i="3"/>
  <c r="BF53" i="3"/>
  <c r="CO53" i="3"/>
  <c r="CQ53" i="3"/>
  <c r="CS53" i="3"/>
  <c r="CU53" i="3"/>
  <c r="BF54" i="3"/>
  <c r="CO54" i="3"/>
  <c r="CQ54" i="3"/>
  <c r="CS54" i="3"/>
  <c r="CU54" i="3"/>
  <c r="BF55" i="3"/>
  <c r="CO55" i="3"/>
  <c r="CQ55" i="3"/>
  <c r="CS55" i="3"/>
  <c r="CU55" i="3"/>
  <c r="BF56" i="3"/>
  <c r="CO56" i="3"/>
  <c r="CQ56" i="3"/>
  <c r="CS56" i="3"/>
  <c r="CU56" i="3"/>
  <c r="BF57" i="3"/>
  <c r="CO57" i="3"/>
  <c r="CQ57" i="3"/>
  <c r="CS57" i="3"/>
  <c r="CU57" i="3"/>
  <c r="BF58" i="3"/>
  <c r="CO58" i="3"/>
  <c r="CQ58" i="3"/>
  <c r="CS58" i="3"/>
  <c r="CU58" i="3"/>
  <c r="BF59" i="3"/>
  <c r="CO59" i="3"/>
  <c r="CQ59" i="3"/>
  <c r="CS59" i="3"/>
  <c r="CU59" i="3"/>
  <c r="BF60" i="3"/>
  <c r="CO60" i="3"/>
  <c r="CQ60" i="3"/>
  <c r="CS60" i="3"/>
  <c r="CU60" i="3"/>
  <c r="BF61" i="3"/>
  <c r="CO61" i="3"/>
  <c r="CQ61" i="3"/>
  <c r="CS61" i="3"/>
  <c r="CU61" i="3"/>
  <c r="BF62" i="3"/>
  <c r="CO62" i="3"/>
  <c r="CQ62" i="3"/>
  <c r="CS62" i="3"/>
  <c r="CU62" i="3"/>
  <c r="BF63" i="3"/>
  <c r="CO63" i="3"/>
  <c r="CQ63" i="3"/>
  <c r="CS63" i="3"/>
  <c r="CU63" i="3"/>
  <c r="BF64" i="3"/>
  <c r="CO64" i="3"/>
  <c r="CQ64" i="3"/>
  <c r="CS64" i="3"/>
  <c r="CU64" i="3"/>
  <c r="BF65" i="3"/>
  <c r="CO65" i="3"/>
  <c r="CQ65" i="3"/>
  <c r="CS65" i="3"/>
  <c r="CU65" i="3"/>
  <c r="BF66" i="3"/>
  <c r="CO66" i="3"/>
  <c r="CQ66" i="3"/>
  <c r="CS66" i="3"/>
  <c r="CU66" i="3"/>
  <c r="BF67" i="3"/>
  <c r="CO67" i="3"/>
  <c r="CQ67" i="3"/>
  <c r="CS67" i="3"/>
  <c r="CU67" i="3"/>
  <c r="BF68" i="3"/>
  <c r="CO68" i="3"/>
  <c r="CQ68" i="3"/>
  <c r="CS68" i="3"/>
  <c r="CU68" i="3"/>
  <c r="BF69" i="3"/>
  <c r="CO69" i="3"/>
  <c r="CQ69" i="3"/>
  <c r="CS69" i="3"/>
  <c r="CU69" i="3"/>
  <c r="BF70" i="3"/>
  <c r="CO70" i="3"/>
  <c r="CQ70" i="3"/>
  <c r="CS70" i="3"/>
  <c r="CU70" i="3"/>
  <c r="BF71" i="3"/>
  <c r="CO71" i="3"/>
  <c r="CQ71" i="3"/>
  <c r="CS71" i="3"/>
  <c r="CU71" i="3"/>
  <c r="BF72" i="3"/>
  <c r="CO72" i="3"/>
  <c r="CQ72" i="3"/>
  <c r="CS72" i="3"/>
  <c r="CU72" i="3"/>
  <c r="BF73" i="3"/>
  <c r="CO73" i="3"/>
  <c r="CQ73" i="3"/>
  <c r="CS73" i="3"/>
  <c r="CU73" i="3"/>
  <c r="BF74" i="3"/>
  <c r="CO74" i="3"/>
  <c r="CQ74" i="3"/>
  <c r="CS74" i="3"/>
  <c r="CU74" i="3"/>
  <c r="BF75" i="3"/>
  <c r="CO75" i="3"/>
  <c r="CQ75" i="3"/>
  <c r="CS75" i="3"/>
  <c r="CU75" i="3"/>
  <c r="BF76" i="3"/>
  <c r="CO76" i="3"/>
  <c r="CQ76" i="3"/>
  <c r="CS76" i="3"/>
  <c r="CU76" i="3"/>
  <c r="BF77" i="3"/>
  <c r="CO77" i="3"/>
  <c r="CQ77" i="3"/>
  <c r="CS77" i="3"/>
  <c r="CU77" i="3"/>
  <c r="BF78" i="3"/>
  <c r="CO78" i="3"/>
  <c r="CQ78" i="3"/>
  <c r="CS78" i="3"/>
  <c r="CU78" i="3"/>
  <c r="BF79" i="3"/>
  <c r="CO79" i="3"/>
  <c r="CQ79" i="3"/>
  <c r="CS79" i="3"/>
  <c r="CU79" i="3"/>
  <c r="BF80" i="3"/>
  <c r="CO80" i="3"/>
  <c r="CQ80" i="3"/>
  <c r="CS80" i="3"/>
  <c r="CU80" i="3"/>
  <c r="BF81" i="3"/>
  <c r="CO81" i="3"/>
  <c r="CQ81" i="3"/>
  <c r="CS81" i="3"/>
  <c r="CU81" i="3"/>
  <c r="BF82" i="3"/>
  <c r="CO82" i="3"/>
  <c r="CQ82" i="3"/>
  <c r="CS82" i="3"/>
  <c r="CU82" i="3"/>
  <c r="BF83" i="3"/>
  <c r="CO83" i="3"/>
  <c r="CQ83" i="3"/>
  <c r="CS83" i="3"/>
  <c r="CU83" i="3"/>
  <c r="BF84" i="3"/>
  <c r="CO84" i="3"/>
  <c r="CQ84" i="3"/>
  <c r="CS84" i="3"/>
  <c r="CU84" i="3"/>
  <c r="BF85" i="3"/>
  <c r="CO85" i="3"/>
  <c r="CQ85" i="3"/>
  <c r="CS85" i="3"/>
  <c r="CU85" i="3"/>
  <c r="BF86" i="3"/>
  <c r="CO86" i="3"/>
  <c r="CQ86" i="3"/>
  <c r="CS86" i="3"/>
  <c r="CU86" i="3"/>
  <c r="BF87" i="3"/>
  <c r="CO87" i="3"/>
  <c r="CQ87" i="3"/>
  <c r="CS87" i="3"/>
  <c r="CU87" i="3"/>
  <c r="BF88" i="3"/>
  <c r="CO88" i="3"/>
  <c r="CQ88" i="3"/>
  <c r="CS88" i="3"/>
  <c r="CU88" i="3"/>
  <c r="BF89" i="3"/>
  <c r="CO89" i="3"/>
  <c r="CQ89" i="3"/>
  <c r="CS89" i="3"/>
  <c r="CU89" i="3"/>
  <c r="BF90" i="3"/>
  <c r="CO90" i="3"/>
  <c r="CQ90" i="3"/>
  <c r="CS90" i="3"/>
  <c r="CU90" i="3"/>
  <c r="BF91" i="3"/>
  <c r="CO91" i="3"/>
  <c r="CQ91" i="3"/>
  <c r="CS91" i="3"/>
  <c r="CU91" i="3"/>
  <c r="BF92" i="3"/>
  <c r="CO92" i="3"/>
  <c r="CQ92" i="3"/>
  <c r="CS92" i="3"/>
  <c r="CU92" i="3"/>
  <c r="BF93" i="3"/>
  <c r="CO93" i="3"/>
  <c r="CQ93" i="3"/>
  <c r="CS93" i="3"/>
  <c r="CU93" i="3"/>
  <c r="BF94" i="3"/>
  <c r="CO94" i="3"/>
  <c r="CQ94" i="3"/>
  <c r="CS94" i="3"/>
  <c r="CU94" i="3"/>
  <c r="BF95" i="3"/>
  <c r="CO95" i="3"/>
  <c r="CQ95" i="3"/>
  <c r="CS95" i="3"/>
  <c r="CU95" i="3"/>
  <c r="BF96" i="3"/>
  <c r="CO96" i="3"/>
  <c r="CQ96" i="3"/>
  <c r="CS96" i="3"/>
  <c r="CU96" i="3"/>
  <c r="BF97" i="3"/>
  <c r="CO97" i="3"/>
  <c r="CQ97" i="3"/>
  <c r="CS97" i="3"/>
  <c r="CU97" i="3"/>
  <c r="BF98" i="3"/>
  <c r="CO98" i="3"/>
  <c r="CQ98" i="3"/>
  <c r="CS98" i="3"/>
  <c r="CU98" i="3"/>
  <c r="BF99" i="3"/>
  <c r="CO99" i="3"/>
  <c r="CQ99" i="3"/>
  <c r="CS99" i="3"/>
  <c r="CU99" i="3"/>
  <c r="BF100" i="3"/>
  <c r="CO100" i="3"/>
  <c r="CQ100" i="3"/>
  <c r="CS100" i="3"/>
  <c r="CU100" i="3"/>
  <c r="BF101" i="3"/>
  <c r="CO101" i="3"/>
  <c r="CQ101" i="3"/>
  <c r="CS101" i="3"/>
  <c r="CU101" i="3"/>
  <c r="BF102" i="3"/>
  <c r="CO102" i="3"/>
  <c r="CQ102" i="3"/>
  <c r="CS102" i="3"/>
  <c r="CU102" i="3"/>
  <c r="BF103" i="3"/>
  <c r="CO103" i="3"/>
  <c r="CQ103" i="3"/>
  <c r="CS103" i="3"/>
  <c r="CU103" i="3"/>
  <c r="BF104" i="3"/>
  <c r="CO104" i="3"/>
  <c r="CQ104" i="3"/>
  <c r="CS104" i="3"/>
  <c r="CU104" i="3"/>
  <c r="BF105" i="3"/>
  <c r="CO105" i="3"/>
  <c r="CQ105" i="3"/>
  <c r="CS105" i="3"/>
  <c r="CU105" i="3"/>
  <c r="BF106" i="3"/>
  <c r="CO106" i="3"/>
  <c r="CQ106" i="3"/>
  <c r="CS106" i="3"/>
  <c r="CU106" i="3"/>
  <c r="BF107" i="3"/>
  <c r="CO107" i="3"/>
  <c r="CQ107" i="3"/>
  <c r="CS107" i="3"/>
  <c r="CU107" i="3"/>
  <c r="BF108" i="3"/>
  <c r="CO108" i="3"/>
  <c r="CQ108" i="3"/>
  <c r="CS108" i="3"/>
  <c r="CU108" i="3"/>
  <c r="BF109" i="3"/>
  <c r="CO109" i="3"/>
  <c r="CQ109" i="3"/>
  <c r="CS109" i="3"/>
  <c r="CU109" i="3"/>
  <c r="BF110" i="3"/>
  <c r="CO110" i="3"/>
  <c r="CQ110" i="3"/>
  <c r="CS110" i="3"/>
  <c r="CU110" i="3"/>
  <c r="BF111" i="3"/>
  <c r="CO111" i="3"/>
  <c r="CQ111" i="3"/>
  <c r="CS111" i="3"/>
  <c r="CU111" i="3"/>
  <c r="BF112" i="3"/>
  <c r="CO112" i="3"/>
  <c r="CQ112" i="3"/>
  <c r="CS112" i="3"/>
  <c r="CU112" i="3"/>
  <c r="BF113" i="3"/>
  <c r="CO113" i="3"/>
  <c r="CQ113" i="3"/>
  <c r="CS113" i="3"/>
  <c r="CU113" i="3"/>
  <c r="BF114" i="3"/>
  <c r="CO114" i="3"/>
  <c r="CQ114" i="3"/>
  <c r="CS114" i="3"/>
  <c r="CU114" i="3"/>
  <c r="BF115" i="3"/>
  <c r="CO115" i="3"/>
  <c r="CQ115" i="3"/>
  <c r="CS115" i="3"/>
  <c r="CU115" i="3"/>
  <c r="BF116" i="3"/>
  <c r="CO116" i="3"/>
  <c r="CQ116" i="3"/>
  <c r="CS116" i="3"/>
  <c r="CU116" i="3"/>
  <c r="BF117" i="3"/>
  <c r="CO117" i="3"/>
  <c r="CQ117" i="3"/>
  <c r="CS117" i="3"/>
  <c r="CU117" i="3"/>
  <c r="BF118" i="3"/>
  <c r="CO118" i="3"/>
  <c r="CQ118" i="3"/>
  <c r="CS118" i="3"/>
  <c r="CU118" i="3"/>
  <c r="BF119" i="3"/>
  <c r="CO119" i="3"/>
  <c r="CQ119" i="3"/>
  <c r="CS119" i="3"/>
  <c r="CU119" i="3"/>
  <c r="BF120" i="3"/>
  <c r="CO120" i="3"/>
  <c r="CQ120" i="3"/>
  <c r="CS120" i="3"/>
  <c r="CU120" i="3"/>
  <c r="BF121" i="3"/>
  <c r="CO121" i="3"/>
  <c r="CQ121" i="3"/>
  <c r="CS121" i="3"/>
  <c r="CU121" i="3"/>
  <c r="BF122" i="3"/>
  <c r="CO122" i="3"/>
  <c r="CQ122" i="3"/>
  <c r="CS122" i="3"/>
  <c r="CU122" i="3"/>
  <c r="BF123" i="3"/>
  <c r="CO123" i="3"/>
  <c r="CQ123" i="3"/>
  <c r="CS123" i="3"/>
  <c r="CU123" i="3"/>
  <c r="BF124" i="3"/>
  <c r="CO124" i="3"/>
  <c r="CQ124" i="3"/>
  <c r="CS124" i="3"/>
  <c r="CU124" i="3"/>
  <c r="BF125" i="3"/>
  <c r="CO125" i="3"/>
  <c r="CQ125" i="3"/>
  <c r="CS125" i="3"/>
  <c r="CU125" i="3"/>
  <c r="BF126" i="3"/>
  <c r="CO126" i="3"/>
  <c r="CQ126" i="3"/>
  <c r="CS126" i="3"/>
  <c r="CU126" i="3"/>
  <c r="BF127" i="3"/>
  <c r="CO127" i="3"/>
  <c r="CQ127" i="3"/>
  <c r="CS127" i="3"/>
  <c r="CU127" i="3"/>
  <c r="BF128" i="3"/>
  <c r="CO128" i="3"/>
  <c r="CQ128" i="3"/>
  <c r="CS128" i="3"/>
  <c r="CU128" i="3"/>
  <c r="BF129" i="3"/>
  <c r="CO129" i="3"/>
  <c r="CQ129" i="3"/>
  <c r="CS129" i="3"/>
  <c r="CU129" i="3"/>
  <c r="BF130" i="3"/>
  <c r="CO130" i="3"/>
  <c r="CQ130" i="3"/>
  <c r="CS130" i="3"/>
  <c r="CU130" i="3"/>
  <c r="BF131" i="3"/>
  <c r="CO131" i="3"/>
  <c r="CQ131" i="3"/>
  <c r="CS131" i="3"/>
  <c r="CU131" i="3"/>
  <c r="BF132" i="3"/>
  <c r="CO132" i="3"/>
  <c r="CQ132" i="3"/>
  <c r="CS132" i="3"/>
  <c r="CU132" i="3"/>
  <c r="BF133" i="3"/>
  <c r="CO133" i="3"/>
  <c r="CQ133" i="3"/>
  <c r="CS133" i="3"/>
  <c r="CU133" i="3"/>
  <c r="BF134" i="3"/>
  <c r="CO134" i="3"/>
  <c r="CQ134" i="3"/>
  <c r="CS134" i="3"/>
  <c r="CU134" i="3"/>
  <c r="BF135" i="3"/>
  <c r="CO135" i="3"/>
  <c r="CQ135" i="3"/>
  <c r="CS135" i="3"/>
  <c r="CU135" i="3"/>
  <c r="BF136" i="3"/>
  <c r="CO136" i="3"/>
  <c r="CQ136" i="3"/>
  <c r="CS136" i="3"/>
  <c r="CU136" i="3"/>
  <c r="BF137" i="3"/>
  <c r="CO137" i="3"/>
  <c r="CQ137" i="3"/>
  <c r="CS137" i="3"/>
  <c r="CU137" i="3"/>
  <c r="BF138" i="3"/>
  <c r="CO138" i="3"/>
  <c r="CQ138" i="3"/>
  <c r="CS138" i="3"/>
  <c r="CU138" i="3"/>
  <c r="BF139" i="3"/>
  <c r="CO139" i="3"/>
  <c r="CQ139" i="3"/>
  <c r="CS139" i="3"/>
  <c r="CU139" i="3"/>
  <c r="BF140" i="3"/>
  <c r="CO140" i="3"/>
  <c r="CQ140" i="3"/>
  <c r="CS140" i="3"/>
  <c r="CU140" i="3"/>
  <c r="BF141" i="3"/>
  <c r="CO141" i="3"/>
  <c r="CQ141" i="3"/>
  <c r="CS141" i="3"/>
  <c r="CU141" i="3"/>
  <c r="BF142" i="3"/>
  <c r="CO142" i="3"/>
  <c r="CQ142" i="3"/>
  <c r="CS142" i="3"/>
  <c r="CU142" i="3"/>
  <c r="BF143" i="3"/>
  <c r="CO143" i="3"/>
  <c r="CQ143" i="3"/>
  <c r="CS143" i="3"/>
  <c r="CU143" i="3"/>
  <c r="BF144" i="3"/>
  <c r="CO144" i="3"/>
  <c r="CQ144" i="3"/>
  <c r="CS144" i="3"/>
  <c r="CU144" i="3"/>
  <c r="BF145" i="3"/>
  <c r="CO145" i="3"/>
  <c r="CQ145" i="3"/>
  <c r="CS145" i="3"/>
  <c r="CU145" i="3"/>
  <c r="BF146" i="3"/>
  <c r="CO146" i="3"/>
  <c r="CQ146" i="3"/>
  <c r="CS146" i="3"/>
  <c r="CU146" i="3"/>
  <c r="BF147" i="3"/>
  <c r="CO147" i="3"/>
  <c r="CQ147" i="3"/>
  <c r="CS147" i="3"/>
  <c r="CU147" i="3"/>
  <c r="BF148" i="3"/>
  <c r="CO148" i="3"/>
  <c r="CQ148" i="3"/>
  <c r="CS148" i="3"/>
  <c r="CU148" i="3"/>
  <c r="BF149" i="3"/>
  <c r="CO149" i="3"/>
  <c r="CQ149" i="3"/>
  <c r="CS149" i="3"/>
  <c r="CU149" i="3"/>
  <c r="BF150" i="3"/>
  <c r="CO150" i="3"/>
  <c r="CQ150" i="3"/>
  <c r="CS150" i="3"/>
  <c r="CU150" i="3"/>
  <c r="BF151" i="3"/>
  <c r="CO151" i="3"/>
  <c r="CQ151" i="3"/>
  <c r="CS151" i="3"/>
  <c r="CU151" i="3"/>
  <c r="BF152" i="3"/>
  <c r="CO152" i="3"/>
  <c r="CQ152" i="3"/>
  <c r="CS152" i="3"/>
  <c r="CU152" i="3"/>
  <c r="BF153" i="3"/>
  <c r="CO153" i="3"/>
  <c r="CQ153" i="3"/>
  <c r="CS153" i="3"/>
  <c r="CU153" i="3"/>
  <c r="BF154" i="3"/>
  <c r="CO154" i="3"/>
  <c r="CQ154" i="3"/>
  <c r="CS154" i="3"/>
  <c r="CU154" i="3"/>
  <c r="BF155" i="3"/>
  <c r="CO155" i="3"/>
  <c r="CQ155" i="3"/>
  <c r="CS155" i="3"/>
  <c r="CU155" i="3"/>
  <c r="BF156" i="3"/>
  <c r="CO156" i="3"/>
  <c r="CQ156" i="3"/>
  <c r="CS156" i="3"/>
  <c r="CU156" i="3"/>
  <c r="BF157" i="3"/>
  <c r="CO157" i="3"/>
  <c r="CQ157" i="3"/>
  <c r="CS157" i="3"/>
  <c r="CU157" i="3"/>
  <c r="BF158" i="3"/>
  <c r="CO158" i="3"/>
  <c r="CQ158" i="3"/>
  <c r="CS158" i="3"/>
  <c r="CU158" i="3"/>
  <c r="BF159" i="3"/>
  <c r="CO159" i="3"/>
  <c r="CQ159" i="3"/>
  <c r="CS159" i="3"/>
  <c r="CU159" i="3"/>
  <c r="BF160" i="3"/>
  <c r="CO160" i="3"/>
  <c r="CQ160" i="3"/>
  <c r="CS160" i="3"/>
  <c r="CU160" i="3"/>
  <c r="BF161" i="3"/>
  <c r="CO161" i="3"/>
  <c r="CQ161" i="3"/>
  <c r="CS161" i="3"/>
  <c r="CU161" i="3"/>
  <c r="BF162" i="3"/>
  <c r="CO162" i="3"/>
  <c r="CQ162" i="3"/>
  <c r="CS162" i="3"/>
  <c r="CU162" i="3"/>
  <c r="BF163" i="3"/>
  <c r="CO163" i="3"/>
  <c r="CQ163" i="3"/>
  <c r="CS163" i="3"/>
  <c r="CU163" i="3"/>
  <c r="BF164" i="3"/>
  <c r="CO164" i="3"/>
  <c r="CQ164" i="3"/>
  <c r="CS164" i="3"/>
  <c r="CU164" i="3"/>
  <c r="BF165" i="3"/>
  <c r="CO165" i="3"/>
  <c r="CQ165" i="3"/>
  <c r="CS165" i="3"/>
  <c r="CU165" i="3"/>
  <c r="BF166" i="3"/>
  <c r="CO166" i="3"/>
  <c r="CQ166" i="3"/>
  <c r="CS166" i="3"/>
  <c r="CU166" i="3"/>
  <c r="BF167" i="3"/>
  <c r="CO167" i="3"/>
  <c r="CQ167" i="3"/>
  <c r="CS167" i="3"/>
  <c r="CU167" i="3"/>
  <c r="BF168" i="3"/>
  <c r="CO168" i="3"/>
  <c r="CQ168" i="3"/>
  <c r="CS168" i="3"/>
  <c r="CU168" i="3"/>
  <c r="BF169" i="3"/>
  <c r="CO169" i="3"/>
  <c r="CQ169" i="3"/>
  <c r="CS169" i="3"/>
  <c r="CU169" i="3"/>
  <c r="BF170" i="3"/>
  <c r="CO170" i="3"/>
  <c r="CQ170" i="3"/>
  <c r="CS170" i="3"/>
  <c r="CU170" i="3"/>
  <c r="BF171" i="3"/>
  <c r="CO171" i="3"/>
  <c r="CQ171" i="3"/>
  <c r="CS171" i="3"/>
  <c r="CU171" i="3"/>
  <c r="BF172" i="3"/>
  <c r="CO172" i="3"/>
  <c r="CQ172" i="3"/>
  <c r="CS172" i="3"/>
  <c r="CU172" i="3"/>
  <c r="BF173" i="3"/>
  <c r="CO173" i="3"/>
  <c r="CQ173" i="3"/>
  <c r="CS173" i="3"/>
  <c r="CU173" i="3"/>
  <c r="BF174" i="3"/>
  <c r="CO174" i="3"/>
  <c r="CQ174" i="3"/>
  <c r="CS174" i="3"/>
  <c r="CU174" i="3"/>
  <c r="BF175" i="3"/>
  <c r="CO175" i="3"/>
  <c r="CQ175" i="3"/>
  <c r="CS175" i="3"/>
  <c r="CU175" i="3"/>
  <c r="BF176" i="3"/>
  <c r="CO176" i="3"/>
  <c r="CQ176" i="3"/>
  <c r="CS176" i="3"/>
  <c r="CU176" i="3"/>
  <c r="BF177" i="3"/>
  <c r="CO177" i="3"/>
  <c r="CQ177" i="3"/>
  <c r="CS177" i="3"/>
  <c r="CU177" i="3"/>
  <c r="BF178" i="3"/>
  <c r="CO178" i="3"/>
  <c r="CQ178" i="3"/>
  <c r="CS178" i="3"/>
  <c r="CU178" i="3"/>
  <c r="BF179" i="3"/>
  <c r="CO179" i="3"/>
  <c r="CQ179" i="3"/>
  <c r="CS179" i="3"/>
  <c r="CU179" i="3"/>
  <c r="BF180" i="3"/>
  <c r="CO180" i="3"/>
  <c r="CQ180" i="3"/>
  <c r="CS180" i="3"/>
  <c r="CU180" i="3"/>
  <c r="BF181" i="3"/>
  <c r="CO181" i="3"/>
  <c r="CQ181" i="3"/>
  <c r="CS181" i="3"/>
  <c r="CU181" i="3"/>
  <c r="BF182" i="3"/>
  <c r="CO182" i="3"/>
  <c r="CQ182" i="3"/>
  <c r="CS182" i="3"/>
  <c r="CU182" i="3"/>
  <c r="BF183" i="3"/>
  <c r="CO183" i="3"/>
  <c r="CQ183" i="3"/>
  <c r="CS183" i="3"/>
  <c r="CU183" i="3"/>
  <c r="BF184" i="3"/>
  <c r="CO184" i="3"/>
  <c r="CQ184" i="3"/>
  <c r="CS184" i="3"/>
  <c r="CU184" i="3"/>
  <c r="BF185" i="3"/>
  <c r="CO185" i="3"/>
  <c r="CQ185" i="3"/>
  <c r="CS185" i="3"/>
  <c r="CU185" i="3"/>
  <c r="BF186" i="3"/>
  <c r="CO186" i="3"/>
  <c r="CQ186" i="3"/>
  <c r="CS186" i="3"/>
  <c r="CU186" i="3"/>
  <c r="BF187" i="3"/>
  <c r="CO187" i="3"/>
  <c r="CQ187" i="3"/>
  <c r="CS187" i="3"/>
  <c r="CU187" i="3"/>
  <c r="BF188" i="3"/>
  <c r="CO188" i="3"/>
  <c r="CQ188" i="3"/>
  <c r="CS188" i="3"/>
  <c r="CU188" i="3"/>
  <c r="BF189" i="3"/>
  <c r="CO189" i="3"/>
  <c r="CQ189" i="3"/>
  <c r="CS189" i="3"/>
  <c r="CU189" i="3"/>
  <c r="BF190" i="3"/>
  <c r="CO190" i="3"/>
  <c r="CQ190" i="3"/>
  <c r="CS190" i="3"/>
  <c r="CU190" i="3"/>
  <c r="BF191" i="3"/>
  <c r="CO191" i="3"/>
  <c r="CQ191" i="3"/>
  <c r="CS191" i="3"/>
  <c r="CU191" i="3"/>
  <c r="BF192" i="3"/>
  <c r="CO192" i="3"/>
  <c r="CQ192" i="3"/>
  <c r="CS192" i="3"/>
  <c r="CU192" i="3"/>
  <c r="BF193" i="3"/>
  <c r="CO193" i="3"/>
  <c r="CQ193" i="3"/>
  <c r="CS193" i="3"/>
  <c r="CU193" i="3"/>
  <c r="BF194" i="3"/>
  <c r="CO194" i="3"/>
  <c r="CQ194" i="3"/>
  <c r="CS194" i="3"/>
  <c r="CU194" i="3"/>
  <c r="BF195" i="3"/>
  <c r="CO195" i="3"/>
  <c r="CQ195" i="3"/>
  <c r="CS195" i="3"/>
  <c r="CU195" i="3"/>
  <c r="BF196" i="3"/>
  <c r="CO196" i="3"/>
  <c r="CQ196" i="3"/>
  <c r="CS196" i="3"/>
  <c r="CU196" i="3"/>
  <c r="BF197" i="3"/>
  <c r="CO197" i="3"/>
  <c r="CQ197" i="3"/>
  <c r="CS197" i="3"/>
  <c r="CU197" i="3"/>
  <c r="BF198" i="3"/>
  <c r="CO198" i="3"/>
  <c r="CQ198" i="3"/>
  <c r="CS198" i="3"/>
  <c r="CU198" i="3"/>
  <c r="BF199" i="3"/>
  <c r="CO199" i="3"/>
  <c r="CQ199" i="3"/>
  <c r="CS199" i="3"/>
  <c r="CU199" i="3"/>
  <c r="BF200" i="3"/>
  <c r="CO200" i="3"/>
  <c r="CQ200" i="3"/>
  <c r="CS200" i="3"/>
  <c r="CU200" i="3"/>
  <c r="BF201" i="3"/>
  <c r="CO201" i="3"/>
  <c r="CQ201" i="3"/>
  <c r="CS201" i="3"/>
  <c r="CU201" i="3"/>
  <c r="BF202" i="3"/>
  <c r="CO202" i="3"/>
  <c r="CQ202" i="3"/>
  <c r="CS202" i="3"/>
  <c r="CU202" i="3"/>
  <c r="BF203" i="3"/>
  <c r="CO203" i="3"/>
  <c r="CQ203" i="3"/>
  <c r="CS203" i="3"/>
  <c r="CU203" i="3"/>
  <c r="BF204" i="3"/>
  <c r="CO204" i="3"/>
  <c r="CQ204" i="3"/>
  <c r="CS204" i="3"/>
  <c r="CU204" i="3"/>
  <c r="BF205" i="3"/>
  <c r="CO205" i="3"/>
  <c r="CQ205" i="3"/>
  <c r="CS205" i="3"/>
  <c r="CU205" i="3"/>
  <c r="BF206" i="3"/>
  <c r="CO206" i="3"/>
  <c r="CQ206" i="3"/>
  <c r="CS206" i="3"/>
  <c r="CU206" i="3"/>
  <c r="BF207" i="3"/>
  <c r="CO207" i="3"/>
  <c r="CQ207" i="3"/>
  <c r="CS207" i="3"/>
  <c r="CU207" i="3"/>
  <c r="BF208" i="3"/>
  <c r="CO208" i="3"/>
  <c r="CQ208" i="3"/>
  <c r="CS208" i="3"/>
  <c r="CU208" i="3"/>
  <c r="BF209" i="3"/>
  <c r="CO209" i="3"/>
  <c r="CQ209" i="3"/>
  <c r="CS209" i="3"/>
  <c r="CU209" i="3"/>
  <c r="BF210" i="3"/>
  <c r="CO210" i="3"/>
  <c r="CQ210" i="3"/>
  <c r="CS210" i="3"/>
  <c r="CU210" i="3"/>
  <c r="BF211" i="3"/>
  <c r="CO211" i="3"/>
  <c r="CQ211" i="3"/>
  <c r="CS211" i="3"/>
  <c r="CU211" i="3"/>
  <c r="BF212" i="3"/>
  <c r="CO212" i="3"/>
  <c r="CQ212" i="3"/>
  <c r="CS212" i="3"/>
  <c r="CU212" i="3"/>
  <c r="BF213" i="3"/>
  <c r="CO213" i="3"/>
  <c r="CQ213" i="3"/>
  <c r="CS213" i="3"/>
  <c r="CU213" i="3"/>
  <c r="BF214" i="3"/>
  <c r="CO214" i="3"/>
  <c r="CQ214" i="3"/>
  <c r="CS214" i="3"/>
  <c r="CU214" i="3"/>
  <c r="BF215" i="3"/>
  <c r="CO215" i="3"/>
  <c r="CQ215" i="3"/>
  <c r="CS215" i="3"/>
  <c r="CU215" i="3"/>
  <c r="BF216" i="3"/>
  <c r="CO216" i="3"/>
  <c r="CQ216" i="3"/>
  <c r="CS216" i="3"/>
  <c r="CU216" i="3"/>
  <c r="BF217" i="3"/>
  <c r="CO217" i="3"/>
  <c r="CQ217" i="3"/>
  <c r="CS217" i="3"/>
  <c r="CU217" i="3"/>
  <c r="BF218" i="3"/>
  <c r="CO218" i="3"/>
  <c r="CQ218" i="3"/>
  <c r="CS218" i="3"/>
  <c r="CU218" i="3"/>
  <c r="BF219" i="3"/>
  <c r="CO219" i="3"/>
  <c r="CQ219" i="3"/>
  <c r="CS219" i="3"/>
  <c r="CU219" i="3"/>
  <c r="BF220" i="3"/>
  <c r="CO220" i="3"/>
  <c r="CQ220" i="3"/>
  <c r="CS220" i="3"/>
  <c r="CU220" i="3"/>
  <c r="BF221" i="3"/>
  <c r="CO221" i="3"/>
  <c r="CQ221" i="3"/>
  <c r="CS221" i="3"/>
  <c r="CU221" i="3"/>
  <c r="BF222" i="3"/>
  <c r="CO222" i="3"/>
  <c r="CQ222" i="3"/>
  <c r="CS222" i="3"/>
  <c r="CU222" i="3"/>
  <c r="BF223" i="3"/>
  <c r="CO223" i="3"/>
  <c r="CQ223" i="3"/>
  <c r="CS223" i="3"/>
  <c r="CU223" i="3"/>
  <c r="BF224" i="3"/>
  <c r="CO224" i="3"/>
  <c r="CQ224" i="3"/>
  <c r="CS224" i="3"/>
  <c r="CU224" i="3"/>
  <c r="BF225" i="3"/>
  <c r="CO225" i="3"/>
  <c r="CQ225" i="3"/>
  <c r="CS225" i="3"/>
  <c r="CU225" i="3"/>
  <c r="BF226" i="3"/>
  <c r="CO226" i="3"/>
  <c r="CQ226" i="3"/>
  <c r="CS226" i="3"/>
  <c r="CU226" i="3"/>
  <c r="BF227" i="3"/>
  <c r="CO227" i="3"/>
  <c r="CQ227" i="3"/>
  <c r="CS227" i="3"/>
  <c r="CU227" i="3"/>
  <c r="BF228" i="3"/>
  <c r="CO228" i="3"/>
  <c r="CQ228" i="3"/>
  <c r="CS228" i="3"/>
  <c r="CU228" i="3"/>
  <c r="BF229" i="3"/>
  <c r="CO229" i="3"/>
  <c r="CQ229" i="3"/>
  <c r="CS229" i="3"/>
  <c r="CU229" i="3"/>
  <c r="BF230" i="3"/>
  <c r="CO230" i="3"/>
  <c r="CQ230" i="3"/>
  <c r="CS230" i="3"/>
  <c r="CU230" i="3"/>
  <c r="BF231" i="3"/>
  <c r="CO231" i="3"/>
  <c r="CQ231" i="3"/>
  <c r="CS231" i="3"/>
  <c r="CU231" i="3"/>
  <c r="BF232" i="3"/>
  <c r="CO232" i="3"/>
  <c r="CQ232" i="3"/>
  <c r="CS232" i="3"/>
  <c r="CU232" i="3"/>
  <c r="BF233" i="3"/>
  <c r="CO233" i="3"/>
  <c r="CQ233" i="3"/>
  <c r="CS233" i="3"/>
  <c r="CU233" i="3"/>
  <c r="BF234" i="3"/>
  <c r="CO234" i="3"/>
  <c r="CQ234" i="3"/>
  <c r="CS234" i="3"/>
  <c r="CU234" i="3"/>
  <c r="BF235" i="3"/>
  <c r="CO235" i="3"/>
  <c r="CQ235" i="3"/>
  <c r="CS235" i="3"/>
  <c r="CU235" i="3"/>
  <c r="BF236" i="3"/>
  <c r="CO236" i="3"/>
  <c r="CQ236" i="3"/>
  <c r="CS236" i="3"/>
  <c r="CU236" i="3"/>
  <c r="BF237" i="3"/>
  <c r="CO237" i="3"/>
  <c r="CQ237" i="3"/>
  <c r="CS237" i="3"/>
  <c r="CU237" i="3"/>
  <c r="BF238" i="3"/>
  <c r="CO238" i="3"/>
  <c r="CQ238" i="3"/>
  <c r="CS238" i="3"/>
  <c r="CU238" i="3"/>
  <c r="BF239" i="3"/>
  <c r="CO239" i="3"/>
  <c r="CQ239" i="3"/>
  <c r="CS239" i="3"/>
  <c r="CU239" i="3"/>
  <c r="BF240" i="3"/>
  <c r="CO240" i="3"/>
  <c r="CQ240" i="3"/>
  <c r="CS240" i="3"/>
  <c r="CU240" i="3"/>
  <c r="BF241" i="3"/>
  <c r="CO241" i="3"/>
  <c r="CQ241" i="3"/>
  <c r="CS241" i="3"/>
  <c r="CU241" i="3"/>
  <c r="BF242" i="3"/>
  <c r="CO242" i="3"/>
  <c r="CQ242" i="3"/>
  <c r="CS242" i="3"/>
  <c r="CU242" i="3"/>
  <c r="BF243" i="3"/>
  <c r="CO243" i="3"/>
  <c r="CQ243" i="3"/>
  <c r="CS243" i="3"/>
  <c r="CU243" i="3"/>
  <c r="BF244" i="3"/>
  <c r="CO244" i="3"/>
  <c r="CQ244" i="3"/>
  <c r="CS244" i="3"/>
  <c r="CU244" i="3"/>
  <c r="BF245" i="3"/>
  <c r="CO245" i="3"/>
  <c r="CQ245" i="3"/>
  <c r="CS245" i="3"/>
  <c r="CU245" i="3"/>
  <c r="BF246" i="3"/>
  <c r="CO246" i="3"/>
  <c r="CQ246" i="3"/>
  <c r="CS246" i="3"/>
  <c r="CU246" i="3"/>
  <c r="BF247" i="3"/>
  <c r="CO247" i="3"/>
  <c r="CQ247" i="3"/>
  <c r="CS247" i="3"/>
  <c r="CU247" i="3"/>
  <c r="BF248" i="3"/>
  <c r="CO248" i="3"/>
  <c r="CQ248" i="3"/>
  <c r="CS248" i="3"/>
  <c r="CU248" i="3"/>
  <c r="BF249" i="3"/>
  <c r="CO249" i="3"/>
  <c r="CQ249" i="3"/>
  <c r="CS249" i="3"/>
  <c r="CU249" i="3"/>
  <c r="BF250" i="3"/>
  <c r="CO250" i="3"/>
  <c r="CQ250" i="3"/>
  <c r="CS250" i="3"/>
  <c r="CU250" i="3"/>
  <c r="BF251" i="3"/>
  <c r="CO251" i="3"/>
  <c r="CQ251" i="3"/>
  <c r="CS251" i="3"/>
  <c r="CU251" i="3"/>
  <c r="BF252" i="3"/>
  <c r="CO252" i="3"/>
  <c r="CQ252" i="3"/>
  <c r="CS252" i="3"/>
  <c r="CU252" i="3"/>
  <c r="BF253" i="3"/>
  <c r="CO253" i="3"/>
  <c r="CQ253" i="3"/>
  <c r="CS253" i="3"/>
  <c r="CU253" i="3"/>
  <c r="BF254" i="3"/>
  <c r="CO254" i="3"/>
  <c r="CQ254" i="3"/>
  <c r="CS254" i="3"/>
  <c r="CU254" i="3"/>
  <c r="BF255" i="3"/>
  <c r="CO255" i="3"/>
  <c r="CQ255" i="3"/>
  <c r="CS255" i="3"/>
  <c r="CU255" i="3"/>
  <c r="BF256" i="3"/>
  <c r="CO256" i="3"/>
  <c r="CQ256" i="3"/>
  <c r="CS256" i="3"/>
  <c r="CU256" i="3"/>
  <c r="BF257" i="3"/>
  <c r="CO257" i="3"/>
  <c r="CQ257" i="3"/>
  <c r="CS257" i="3"/>
  <c r="CU257" i="3"/>
  <c r="BF258" i="3"/>
  <c r="CO258" i="3"/>
  <c r="CQ258" i="3"/>
  <c r="CS258" i="3"/>
  <c r="CU258" i="3"/>
  <c r="BF259" i="3"/>
  <c r="CO259" i="3"/>
  <c r="CQ259" i="3"/>
  <c r="CS259" i="3"/>
  <c r="CU259" i="3"/>
  <c r="BF260" i="3"/>
  <c r="CO260" i="3"/>
  <c r="CQ260" i="3"/>
  <c r="CS260" i="3"/>
  <c r="CU260" i="3"/>
  <c r="BF261" i="3"/>
  <c r="CO261" i="3"/>
  <c r="CQ261" i="3"/>
  <c r="CS261" i="3"/>
  <c r="CU261" i="3"/>
  <c r="BF262" i="3"/>
  <c r="CO262" i="3"/>
  <c r="CQ262" i="3"/>
  <c r="CS262" i="3"/>
  <c r="CU262" i="3"/>
  <c r="BF263" i="3"/>
  <c r="CO263" i="3"/>
  <c r="CQ263" i="3"/>
  <c r="CS263" i="3"/>
  <c r="CU263" i="3"/>
  <c r="BF264" i="3"/>
  <c r="CO264" i="3"/>
  <c r="CQ264" i="3"/>
  <c r="CS264" i="3"/>
  <c r="CU264" i="3"/>
  <c r="BF265" i="3"/>
  <c r="CO265" i="3"/>
  <c r="CQ265" i="3"/>
  <c r="CS265" i="3"/>
  <c r="CU265" i="3"/>
  <c r="BF266" i="3"/>
  <c r="CO266" i="3"/>
  <c r="CQ266" i="3"/>
  <c r="CS266" i="3"/>
  <c r="CU266" i="3"/>
  <c r="BF267" i="3"/>
  <c r="CO267" i="3"/>
  <c r="CQ267" i="3"/>
  <c r="CS267" i="3"/>
  <c r="CU267" i="3"/>
  <c r="BF268" i="3"/>
  <c r="CO268" i="3"/>
  <c r="CQ268" i="3"/>
  <c r="CS268" i="3"/>
  <c r="CU268" i="3"/>
  <c r="BF269" i="3"/>
  <c r="CO269" i="3"/>
  <c r="CQ269" i="3"/>
  <c r="CS269" i="3"/>
  <c r="CU269" i="3"/>
  <c r="BF270" i="3"/>
  <c r="CO270" i="3"/>
  <c r="CQ270" i="3"/>
  <c r="CS270" i="3"/>
  <c r="CU270" i="3"/>
  <c r="BF271" i="3"/>
  <c r="CO271" i="3"/>
  <c r="CQ271" i="3"/>
  <c r="CS271" i="3"/>
  <c r="CU271" i="3"/>
  <c r="BF272" i="3"/>
  <c r="CO272" i="3"/>
  <c r="CQ272" i="3"/>
  <c r="CS272" i="3"/>
  <c r="CU272" i="3"/>
  <c r="BF273" i="3"/>
  <c r="CO273" i="3"/>
  <c r="CQ273" i="3"/>
  <c r="CS273" i="3"/>
  <c r="CU273" i="3"/>
  <c r="BF274" i="3"/>
  <c r="CO274" i="3"/>
  <c r="CQ274" i="3"/>
  <c r="CS274" i="3"/>
  <c r="CU274" i="3"/>
  <c r="BF275" i="3"/>
  <c r="CO275" i="3"/>
  <c r="CQ275" i="3"/>
  <c r="CS275" i="3"/>
  <c r="CU275" i="3"/>
  <c r="BF276" i="3"/>
  <c r="CO276" i="3"/>
  <c r="CQ276" i="3"/>
  <c r="CS276" i="3"/>
  <c r="CU276" i="3"/>
  <c r="BF277" i="3"/>
  <c r="CO277" i="3"/>
  <c r="CQ277" i="3"/>
  <c r="CS277" i="3"/>
  <c r="CU277" i="3"/>
  <c r="BF278" i="3"/>
  <c r="CO278" i="3"/>
  <c r="CQ278" i="3"/>
  <c r="CS278" i="3"/>
  <c r="CU278" i="3"/>
  <c r="BF279" i="3"/>
  <c r="CO279" i="3"/>
  <c r="CQ279" i="3"/>
  <c r="CS279" i="3"/>
  <c r="CU279" i="3"/>
  <c r="BF280" i="3"/>
  <c r="CO280" i="3"/>
  <c r="CQ280" i="3"/>
  <c r="CS280" i="3"/>
  <c r="CU280" i="3"/>
  <c r="BF281" i="3"/>
  <c r="CO281" i="3"/>
  <c r="CQ281" i="3"/>
  <c r="CS281" i="3"/>
  <c r="CU281" i="3"/>
  <c r="BF282" i="3"/>
  <c r="CO282" i="3"/>
  <c r="CQ282" i="3"/>
  <c r="CS282" i="3"/>
  <c r="CU282" i="3"/>
  <c r="BF283" i="3"/>
  <c r="CO283" i="3"/>
  <c r="CQ283" i="3"/>
  <c r="CS283" i="3"/>
  <c r="CU283" i="3"/>
  <c r="BF284" i="3"/>
  <c r="CO284" i="3"/>
  <c r="CQ284" i="3"/>
  <c r="CS284" i="3"/>
  <c r="CU284" i="3"/>
  <c r="BF285" i="3"/>
  <c r="CO285" i="3"/>
  <c r="CQ285" i="3"/>
  <c r="CS285" i="3"/>
  <c r="CU285" i="3"/>
  <c r="BF286" i="3"/>
  <c r="CO286" i="3"/>
  <c r="CQ286" i="3"/>
  <c r="CS286" i="3"/>
  <c r="CU286" i="3"/>
  <c r="BF287" i="3"/>
  <c r="CO287" i="3"/>
  <c r="CQ287" i="3"/>
  <c r="CS287" i="3"/>
  <c r="CU287" i="3"/>
  <c r="BF288" i="3"/>
  <c r="CO288" i="3"/>
  <c r="CQ288" i="3"/>
  <c r="CS288" i="3"/>
  <c r="CU288" i="3"/>
  <c r="BF289" i="3"/>
  <c r="CO289" i="3"/>
  <c r="CQ289" i="3"/>
  <c r="CS289" i="3"/>
  <c r="CU289" i="3"/>
  <c r="BF290" i="3"/>
  <c r="CO290" i="3"/>
  <c r="CQ290" i="3"/>
  <c r="CS290" i="3"/>
  <c r="CU290" i="3"/>
  <c r="AV75" i="3" l="1"/>
  <c r="CQ4" i="3"/>
  <c r="CU4" i="3"/>
  <c r="CO4" i="3"/>
  <c r="BZ5" i="3"/>
  <c r="BZ4" i="3" s="1"/>
  <c r="BY4" i="3"/>
  <c r="BF4" i="3"/>
  <c r="CS4" i="3"/>
  <c r="AJ289" i="3"/>
  <c r="AJ287" i="3"/>
  <c r="AJ285" i="3"/>
  <c r="AJ283" i="3"/>
  <c r="AJ281" i="3"/>
  <c r="AJ279" i="3"/>
  <c r="AJ276" i="3"/>
  <c r="AJ272" i="3"/>
  <c r="AJ270" i="3"/>
  <c r="AJ268" i="3"/>
  <c r="AJ266" i="3"/>
  <c r="AJ264" i="3"/>
  <c r="AJ262" i="3"/>
  <c r="AJ260" i="3"/>
  <c r="AJ258" i="3"/>
  <c r="AJ256" i="3"/>
  <c r="AJ255" i="3"/>
  <c r="AJ253" i="3"/>
  <c r="AJ251" i="3"/>
  <c r="AJ249" i="3"/>
  <c r="AJ246" i="3"/>
  <c r="AJ244" i="3"/>
  <c r="AJ242" i="3"/>
  <c r="AJ240" i="3"/>
  <c r="AJ238" i="3"/>
  <c r="AJ236" i="3"/>
  <c r="AJ234" i="3"/>
  <c r="AJ232" i="3"/>
  <c r="AJ230" i="3"/>
  <c r="AJ228" i="3"/>
  <c r="AJ226" i="3"/>
  <c r="AJ224" i="3"/>
  <c r="AJ222" i="3"/>
  <c r="AJ220" i="3"/>
  <c r="AJ218" i="3"/>
  <c r="AJ217" i="3"/>
  <c r="AJ214" i="3"/>
  <c r="AJ212" i="3"/>
  <c r="AJ210" i="3"/>
  <c r="AJ208" i="3"/>
  <c r="AJ206" i="3"/>
  <c r="AJ204" i="3"/>
  <c r="AJ202" i="3"/>
  <c r="AJ200" i="3"/>
  <c r="AJ199" i="3"/>
  <c r="AJ197" i="3"/>
  <c r="AJ194" i="3"/>
  <c r="AJ192" i="3"/>
  <c r="AJ188" i="3"/>
  <c r="AJ187" i="3"/>
  <c r="AJ184" i="3"/>
  <c r="AJ182" i="3"/>
  <c r="AJ180" i="3"/>
  <c r="AJ178" i="3"/>
  <c r="AJ176" i="3"/>
  <c r="AJ174" i="3"/>
  <c r="AJ172" i="3"/>
  <c r="AJ170" i="3"/>
  <c r="AJ168" i="3"/>
  <c r="AJ166" i="3"/>
  <c r="AJ164" i="3"/>
  <c r="AJ162" i="3"/>
  <c r="AJ160" i="3"/>
  <c r="AJ158" i="3"/>
  <c r="AJ156" i="3"/>
  <c r="AJ154" i="3"/>
  <c r="AJ150" i="3"/>
  <c r="AJ148" i="3"/>
  <c r="AJ146" i="3"/>
  <c r="AJ144" i="3"/>
  <c r="AJ143" i="3"/>
  <c r="AJ141" i="3"/>
  <c r="AJ139" i="3"/>
  <c r="AJ137" i="3"/>
  <c r="AJ24" i="3"/>
  <c r="AJ23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7" i="3"/>
  <c r="AJ6" i="3"/>
  <c r="AJ290" i="3"/>
  <c r="AJ288" i="3"/>
  <c r="AJ286" i="3"/>
  <c r="AJ284" i="3"/>
  <c r="AJ282" i="3"/>
  <c r="AJ280" i="3"/>
  <c r="AJ278" i="3"/>
  <c r="AJ277" i="3"/>
  <c r="AJ275" i="3"/>
  <c r="AJ273" i="3"/>
  <c r="AJ271" i="3"/>
  <c r="AJ269" i="3"/>
  <c r="AJ267" i="3"/>
  <c r="AJ265" i="3"/>
  <c r="AJ263" i="3"/>
  <c r="AJ261" i="3"/>
  <c r="AJ259" i="3"/>
  <c r="AJ257" i="3"/>
  <c r="AJ254" i="3"/>
  <c r="AJ252" i="3"/>
  <c r="AJ250" i="3"/>
  <c r="AJ248" i="3"/>
  <c r="AJ247" i="3"/>
  <c r="AJ245" i="3"/>
  <c r="AJ243" i="3"/>
  <c r="AJ241" i="3"/>
  <c r="AJ239" i="3"/>
  <c r="AJ237" i="3"/>
  <c r="AJ235" i="3"/>
  <c r="AJ233" i="3"/>
  <c r="AJ231" i="3"/>
  <c r="AJ229" i="3"/>
  <c r="AJ227" i="3"/>
  <c r="AJ225" i="3"/>
  <c r="AJ223" i="3"/>
  <c r="AJ221" i="3"/>
  <c r="AJ219" i="3"/>
  <c r="AJ216" i="3"/>
  <c r="AJ213" i="3"/>
  <c r="AJ207" i="3"/>
  <c r="AJ205" i="3"/>
  <c r="AJ198" i="3"/>
  <c r="AJ196" i="3"/>
  <c r="AJ195" i="3"/>
  <c r="AJ193" i="3"/>
  <c r="AJ191" i="3"/>
  <c r="AJ189" i="3"/>
  <c r="AJ186" i="3"/>
  <c r="AJ185" i="3"/>
  <c r="AJ183" i="3"/>
  <c r="AJ181" i="3"/>
  <c r="AJ179" i="3"/>
  <c r="AJ177" i="3"/>
  <c r="AJ175" i="3"/>
  <c r="AJ173" i="3"/>
  <c r="AJ171" i="3"/>
  <c r="AJ169" i="3"/>
  <c r="AJ167" i="3"/>
  <c r="AJ165" i="3"/>
  <c r="AJ163" i="3"/>
  <c r="AJ161" i="3"/>
  <c r="AJ159" i="3"/>
  <c r="AJ157" i="3"/>
  <c r="AJ155" i="3"/>
  <c r="AJ153" i="3"/>
  <c r="AJ151" i="3"/>
  <c r="AJ149" i="3"/>
  <c r="AJ147" i="3"/>
  <c r="AJ145" i="3"/>
  <c r="AJ142" i="3"/>
  <c r="AJ140" i="3"/>
  <c r="AJ138" i="3"/>
  <c r="AJ136" i="3"/>
  <c r="AJ135" i="3"/>
  <c r="AJ134" i="3"/>
  <c r="AJ133" i="3"/>
  <c r="AJ132" i="3"/>
  <c r="AJ131" i="3"/>
  <c r="AJ130" i="3"/>
  <c r="AJ129" i="3"/>
  <c r="AJ128" i="3"/>
  <c r="AJ127" i="3"/>
  <c r="AJ126" i="3"/>
  <c r="AJ125" i="3"/>
  <c r="AJ124" i="3"/>
  <c r="AJ123" i="3"/>
  <c r="AJ122" i="3"/>
  <c r="AJ121" i="3"/>
  <c r="AJ120" i="3"/>
  <c r="AJ119" i="3"/>
  <c r="AJ118" i="3"/>
  <c r="AJ117" i="3"/>
  <c r="AJ116" i="3"/>
  <c r="AJ115" i="3"/>
  <c r="AJ114" i="3"/>
  <c r="AJ113" i="3"/>
  <c r="AJ112" i="3"/>
  <c r="AJ111" i="3"/>
  <c r="AJ110" i="3"/>
  <c r="AJ109" i="3"/>
  <c r="AJ108" i="3"/>
  <c r="AJ107" i="3"/>
  <c r="AJ106" i="3"/>
  <c r="AJ105" i="3"/>
  <c r="AJ104" i="3"/>
  <c r="AJ103" i="3"/>
  <c r="AJ102" i="3"/>
  <c r="AJ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6" i="3"/>
  <c r="AJ85" i="3"/>
  <c r="AJ84" i="3"/>
  <c r="AJ83" i="3"/>
  <c r="AJ82" i="3"/>
  <c r="AJ81" i="3"/>
  <c r="AJ80" i="3"/>
  <c r="AJ79" i="3"/>
  <c r="AJ78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74" i="3"/>
  <c r="AJ215" i="3"/>
  <c r="AJ211" i="3"/>
  <c r="AJ209" i="3"/>
  <c r="AJ203" i="3"/>
  <c r="AJ201" i="3"/>
  <c r="AJ190" i="3"/>
  <c r="AJ152" i="3"/>
  <c r="AJ101" i="3"/>
  <c r="AJ77" i="3"/>
  <c r="AJ22" i="3"/>
  <c r="AJ8" i="3"/>
  <c r="CV259" i="3"/>
  <c r="CV231" i="3"/>
  <c r="CV230" i="3"/>
  <c r="CV224" i="3"/>
  <c r="CV74" i="3"/>
  <c r="CV226" i="3"/>
  <c r="CV99" i="3"/>
  <c r="CV123" i="3"/>
  <c r="CV16" i="3"/>
  <c r="CV225" i="3"/>
  <c r="CV98" i="3"/>
  <c r="CV76" i="3"/>
  <c r="CV258" i="3"/>
  <c r="CV227" i="3"/>
  <c r="CV274" i="3"/>
  <c r="CV113" i="3"/>
  <c r="CV111" i="3"/>
  <c r="CV106" i="3"/>
  <c r="CV75" i="3"/>
  <c r="CV15" i="3"/>
  <c r="CV235" i="3"/>
  <c r="CV271" i="3"/>
  <c r="CV270" i="3"/>
  <c r="CV262" i="3"/>
  <c r="CV234" i="3"/>
  <c r="CV222" i="3"/>
  <c r="CV112" i="3"/>
  <c r="CV108" i="3"/>
  <c r="CV73" i="3"/>
  <c r="CV17" i="3"/>
  <c r="CV290" i="3"/>
  <c r="CV289" i="3"/>
  <c r="CV282" i="3"/>
  <c r="CV272" i="3"/>
  <c r="CV269" i="3"/>
  <c r="CV261" i="3"/>
  <c r="CV232" i="3"/>
  <c r="CV229" i="3"/>
  <c r="CV109" i="3"/>
  <c r="CV78" i="3"/>
  <c r="CV20" i="3"/>
  <c r="CV19" i="3"/>
  <c r="CV287" i="3"/>
  <c r="CV285" i="3"/>
  <c r="CV283" i="3"/>
  <c r="CV278" i="3"/>
  <c r="CV276" i="3"/>
  <c r="CV257" i="3"/>
  <c r="CV255" i="3"/>
  <c r="CV253" i="3"/>
  <c r="CV251" i="3"/>
  <c r="CV249" i="3"/>
  <c r="CV247" i="3"/>
  <c r="CV245" i="3"/>
  <c r="CV243" i="3"/>
  <c r="CV241" i="3"/>
  <c r="CV239" i="3"/>
  <c r="CV237" i="3"/>
  <c r="CV233" i="3"/>
  <c r="CV223" i="3"/>
  <c r="CV220" i="3"/>
  <c r="CV218" i="3"/>
  <c r="CV216" i="3"/>
  <c r="CV214" i="3"/>
  <c r="CV212" i="3"/>
  <c r="CV210" i="3"/>
  <c r="CV208" i="3"/>
  <c r="CV122" i="3"/>
  <c r="CV121" i="3"/>
  <c r="CV120" i="3"/>
  <c r="CV119" i="3"/>
  <c r="CV118" i="3"/>
  <c r="CV116" i="3"/>
  <c r="CV110" i="3"/>
  <c r="CV105" i="3"/>
  <c r="CV103" i="3"/>
  <c r="CV101" i="3"/>
  <c r="CV97" i="3"/>
  <c r="CV95" i="3"/>
  <c r="CV93" i="3"/>
  <c r="CV91" i="3"/>
  <c r="CV89" i="3"/>
  <c r="CV87" i="3"/>
  <c r="CV81" i="3"/>
  <c r="CV79" i="3"/>
  <c r="CV72" i="3"/>
  <c r="CV70" i="3"/>
  <c r="CV68" i="3"/>
  <c r="CV66" i="3"/>
  <c r="CV64" i="3"/>
  <c r="CV62" i="3"/>
  <c r="CV51" i="3"/>
  <c r="CV22" i="3"/>
  <c r="CV18" i="3"/>
  <c r="CV288" i="3"/>
  <c r="CV286" i="3"/>
  <c r="CV284" i="3"/>
  <c r="CV281" i="3"/>
  <c r="CV279" i="3"/>
  <c r="CV277" i="3"/>
  <c r="CV275" i="3"/>
  <c r="CV260" i="3"/>
  <c r="CV256" i="3"/>
  <c r="CV254" i="3"/>
  <c r="CV252" i="3"/>
  <c r="CV250" i="3"/>
  <c r="CV248" i="3"/>
  <c r="CV246" i="3"/>
  <c r="CV244" i="3"/>
  <c r="CV242" i="3"/>
  <c r="CV240" i="3"/>
  <c r="CV238" i="3"/>
  <c r="CV236" i="3"/>
  <c r="CV228" i="3"/>
  <c r="CV221" i="3"/>
  <c r="CV219" i="3"/>
  <c r="CV217" i="3"/>
  <c r="CV215" i="3"/>
  <c r="CV213" i="3"/>
  <c r="CV211" i="3"/>
  <c r="CV209" i="3"/>
  <c r="CV207" i="3"/>
  <c r="CV180" i="3"/>
  <c r="CV179" i="3"/>
  <c r="CV178" i="3"/>
  <c r="CV177" i="3"/>
  <c r="CV176" i="3"/>
  <c r="CV175" i="3"/>
  <c r="CV174" i="3"/>
  <c r="CV173" i="3"/>
  <c r="CV172" i="3"/>
  <c r="CV171" i="3"/>
  <c r="CV170" i="3"/>
  <c r="CV169" i="3"/>
  <c r="CV168" i="3"/>
  <c r="CV167" i="3"/>
  <c r="CV166" i="3"/>
  <c r="CV165" i="3"/>
  <c r="CV164" i="3"/>
  <c r="CV163" i="3"/>
  <c r="CV162" i="3"/>
  <c r="CV161" i="3"/>
  <c r="CV160" i="3"/>
  <c r="CV159" i="3"/>
  <c r="CV158" i="3"/>
  <c r="CV157" i="3"/>
  <c r="CV156" i="3"/>
  <c r="CV155" i="3"/>
  <c r="CV154" i="3"/>
  <c r="CV153" i="3"/>
  <c r="CV152" i="3"/>
  <c r="CV151" i="3"/>
  <c r="CV150" i="3"/>
  <c r="CV149" i="3"/>
  <c r="CV148" i="3"/>
  <c r="CV147" i="3"/>
  <c r="CV146" i="3"/>
  <c r="CV145" i="3"/>
  <c r="CV144" i="3"/>
  <c r="CV143" i="3"/>
  <c r="CV142" i="3"/>
  <c r="CV141" i="3"/>
  <c r="CV140" i="3"/>
  <c r="CV139" i="3"/>
  <c r="CV138" i="3"/>
  <c r="CV137" i="3"/>
  <c r="CV136" i="3"/>
  <c r="CV135" i="3"/>
  <c r="CV134" i="3"/>
  <c r="CV133" i="3"/>
  <c r="CV132" i="3"/>
  <c r="CV131" i="3"/>
  <c r="CV130" i="3"/>
  <c r="CV129" i="3"/>
  <c r="CV128" i="3"/>
  <c r="CV127" i="3"/>
  <c r="CV126" i="3"/>
  <c r="CV125" i="3"/>
  <c r="CV124" i="3"/>
  <c r="CV117" i="3"/>
  <c r="CV115" i="3"/>
  <c r="CV114" i="3"/>
  <c r="CV107" i="3"/>
  <c r="CV104" i="3"/>
  <c r="CV102" i="3"/>
  <c r="CV100" i="3"/>
  <c r="CV96" i="3"/>
  <c r="CV94" i="3"/>
  <c r="CV92" i="3"/>
  <c r="CV90" i="3"/>
  <c r="CV88" i="3"/>
  <c r="CV86" i="3"/>
  <c r="CV85" i="3"/>
  <c r="CV84" i="3"/>
  <c r="CV83" i="3"/>
  <c r="CV82" i="3"/>
  <c r="CV80" i="3"/>
  <c r="CV77" i="3"/>
  <c r="CV71" i="3"/>
  <c r="CV69" i="3"/>
  <c r="CV67" i="3"/>
  <c r="CV65" i="3"/>
  <c r="CV63" i="3"/>
  <c r="CV61" i="3"/>
  <c r="CV21" i="3"/>
  <c r="CV273" i="3"/>
  <c r="CV267" i="3"/>
  <c r="CV265" i="3"/>
  <c r="CV263" i="3"/>
  <c r="CV280" i="3"/>
  <c r="CV268" i="3"/>
  <c r="CV266" i="3"/>
  <c r="CV264" i="3"/>
  <c r="CV10" i="3"/>
  <c r="CV9" i="3"/>
  <c r="CV8" i="3"/>
  <c r="CV7" i="3"/>
  <c r="CV6" i="3"/>
  <c r="CV5" i="3"/>
  <c r="CV181" i="3"/>
  <c r="CV50" i="3"/>
  <c r="CV49" i="3"/>
  <c r="CV48" i="3"/>
  <c r="CV47" i="3"/>
  <c r="CV46" i="3"/>
  <c r="CV45" i="3"/>
  <c r="CV44" i="3"/>
  <c r="CV43" i="3"/>
  <c r="CV42" i="3"/>
  <c r="CV35" i="3"/>
  <c r="CV34" i="3"/>
  <c r="CV33" i="3"/>
  <c r="CV32" i="3"/>
  <c r="CV31" i="3"/>
  <c r="CV30" i="3"/>
  <c r="CV29" i="3"/>
  <c r="CV28" i="3"/>
  <c r="CV27" i="3"/>
  <c r="CV26" i="3"/>
  <c r="CV25" i="3"/>
  <c r="CV24" i="3"/>
  <c r="CV23" i="3"/>
  <c r="CV206" i="3"/>
  <c r="CV205" i="3"/>
  <c r="CV204" i="3"/>
  <c r="CV203" i="3"/>
  <c r="CV202" i="3"/>
  <c r="CV201" i="3"/>
  <c r="CV200" i="3"/>
  <c r="CV199" i="3"/>
  <c r="CV198" i="3"/>
  <c r="CV197" i="3"/>
  <c r="CV196" i="3"/>
  <c r="CV195" i="3"/>
  <c r="CV194" i="3"/>
  <c r="CV193" i="3"/>
  <c r="CV192" i="3"/>
  <c r="CV191" i="3"/>
  <c r="CV190" i="3"/>
  <c r="CV189" i="3"/>
  <c r="CV188" i="3"/>
  <c r="CV187" i="3"/>
  <c r="CV186" i="3"/>
  <c r="CV185" i="3"/>
  <c r="CV184" i="3"/>
  <c r="CV183" i="3"/>
  <c r="CV182" i="3"/>
  <c r="CV60" i="3"/>
  <c r="CV59" i="3"/>
  <c r="CV58" i="3"/>
  <c r="CV57" i="3"/>
  <c r="CV56" i="3"/>
  <c r="CV55" i="3"/>
  <c r="CV54" i="3"/>
  <c r="CV53" i="3"/>
  <c r="CV52" i="3"/>
  <c r="CV41" i="3"/>
  <c r="CV40" i="3"/>
  <c r="CV39" i="3"/>
  <c r="CV38" i="3"/>
  <c r="CV37" i="3"/>
  <c r="CV36" i="3"/>
  <c r="CV14" i="3"/>
  <c r="CV13" i="3"/>
  <c r="CV12" i="3"/>
  <c r="CV11" i="3"/>
  <c r="AV90" i="3" l="1"/>
  <c r="CA5" i="3"/>
  <c r="CB5" i="3" s="1"/>
  <c r="CB4" i="3" s="1"/>
  <c r="CV4" i="3"/>
  <c r="H60" i="6"/>
  <c r="H63" i="6" s="1"/>
  <c r="AV100" i="3" l="1"/>
  <c r="CA4" i="3"/>
  <c r="B73" i="6"/>
  <c r="B76" i="6" s="1"/>
  <c r="AY42" i="3" s="1"/>
  <c r="E73" i="6"/>
  <c r="E76" i="6" s="1"/>
  <c r="AV128" i="3" l="1"/>
  <c r="I286" i="3"/>
  <c r="I287" i="3"/>
  <c r="I288" i="3"/>
  <c r="I289" i="3"/>
  <c r="I290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L141" i="3" s="1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L242" i="3" s="1"/>
  <c r="I243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L259" i="3" s="1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19" i="3"/>
  <c r="I6" i="3"/>
  <c r="I7" i="3"/>
  <c r="I8" i="3"/>
  <c r="I9" i="3"/>
  <c r="I10" i="3"/>
  <c r="I11" i="3"/>
  <c r="I12" i="3"/>
  <c r="I13" i="3"/>
  <c r="I14" i="3"/>
  <c r="I15" i="3"/>
  <c r="I16" i="3"/>
  <c r="I17" i="3"/>
  <c r="I5" i="3"/>
  <c r="I4" i="3" l="1"/>
  <c r="AV129" i="3"/>
  <c r="L18" i="3"/>
  <c r="N18" i="3" s="1"/>
  <c r="T18" i="3"/>
  <c r="J18" i="3" s="1"/>
  <c r="R18" i="3" s="1"/>
  <c r="AC18" i="3"/>
  <c r="AF18" i="3"/>
  <c r="AH18" i="3"/>
  <c r="AK18" i="3"/>
  <c r="AL18" i="3"/>
  <c r="AQ18" i="3"/>
  <c r="H64" i="6" s="1"/>
  <c r="H65" i="6" s="1"/>
  <c r="AV137" i="3" l="1"/>
  <c r="AN18" i="3"/>
  <c r="Q18" i="3"/>
  <c r="S18" i="3"/>
  <c r="AV141" i="3" l="1"/>
  <c r="BO18" i="3"/>
  <c r="BS18" i="3"/>
  <c r="BT18" i="3" s="1"/>
  <c r="BU18" i="3" s="1"/>
  <c r="BV18" i="3" s="1"/>
  <c r="BW18" i="3"/>
  <c r="W18" i="3" s="1"/>
  <c r="CI18" i="3"/>
  <c r="CM18" i="3" s="1"/>
  <c r="BN18" i="3"/>
  <c r="CJ18" i="3"/>
  <c r="AV143" i="3" l="1"/>
  <c r="CL18" i="3"/>
  <c r="CK18" i="3"/>
  <c r="BQ18" i="3"/>
  <c r="BR18" i="3" s="1"/>
  <c r="BP18" i="3"/>
  <c r="AC10" i="3"/>
  <c r="AV144" i="3" l="1"/>
  <c r="V18" i="3"/>
  <c r="U18" i="3"/>
  <c r="AD18" i="3"/>
  <c r="AV146" i="3" l="1"/>
  <c r="AS18" i="3"/>
  <c r="AV148" i="3" l="1"/>
  <c r="CG18" i="3"/>
  <c r="CH18" i="3" s="1"/>
  <c r="AM18" i="3" s="1"/>
  <c r="T83" i="3"/>
  <c r="AV153" i="3" l="1"/>
  <c r="AR18" i="3"/>
  <c r="AT18" i="3"/>
  <c r="AV156" i="3" l="1"/>
  <c r="BH18" i="3"/>
  <c r="BJ18" i="3" s="1"/>
  <c r="BL18" i="3" s="1"/>
  <c r="BM18" i="3" s="1"/>
  <c r="CX18" i="3"/>
  <c r="CY18" i="3" s="1"/>
  <c r="AU18" i="3" s="1"/>
  <c r="AV162" i="3" l="1"/>
  <c r="AY18" i="3"/>
  <c r="AZ18" i="3"/>
  <c r="J18" i="9" s="1"/>
  <c r="AV208" i="3" l="1"/>
  <c r="BB18" i="3"/>
  <c r="BG18" i="3" s="1"/>
  <c r="AK5" i="3"/>
  <c r="AL5" i="3"/>
  <c r="J14" i="3"/>
  <c r="R14" i="3" s="1"/>
  <c r="AV219" i="3" l="1"/>
  <c r="E60" i="6"/>
  <c r="E63" i="6" s="1"/>
  <c r="B60" i="6"/>
  <c r="B63" i="6" s="1"/>
  <c r="AY17" i="3" s="1"/>
  <c r="H47" i="6"/>
  <c r="H50" i="6" s="1"/>
  <c r="E47" i="6"/>
  <c r="E50" i="6" s="1"/>
  <c r="AV222" i="3" l="1"/>
  <c r="AC15" i="3"/>
  <c r="AF15" i="3"/>
  <c r="AH15" i="3"/>
  <c r="AK15" i="3"/>
  <c r="AL15" i="3"/>
  <c r="AQ15" i="3"/>
  <c r="AC16" i="3"/>
  <c r="AF16" i="3"/>
  <c r="AH16" i="3"/>
  <c r="AK16" i="3"/>
  <c r="AL16" i="3"/>
  <c r="AQ16" i="3"/>
  <c r="AC17" i="3"/>
  <c r="AF17" i="3"/>
  <c r="AH17" i="3"/>
  <c r="AK17" i="3"/>
  <c r="AL17" i="3"/>
  <c r="AQ17" i="3"/>
  <c r="B64" i="6" s="1"/>
  <c r="T15" i="3"/>
  <c r="T16" i="3"/>
  <c r="J16" i="3" s="1"/>
  <c r="T17" i="3"/>
  <c r="AV239" i="3" l="1"/>
  <c r="Q16" i="3"/>
  <c r="R16" i="3"/>
  <c r="E51" i="6"/>
  <c r="B65" i="6"/>
  <c r="AZ17" i="3" s="1"/>
  <c r="J17" i="9" s="1"/>
  <c r="H51" i="6"/>
  <c r="H52" i="6" s="1"/>
  <c r="J17" i="3"/>
  <c r="R17" i="3" s="1"/>
  <c r="J15" i="3"/>
  <c r="R15" i="3" s="1"/>
  <c r="AN15" i="3"/>
  <c r="AN17" i="3"/>
  <c r="AN16" i="3"/>
  <c r="L16" i="3"/>
  <c r="N16" i="3" s="1"/>
  <c r="L17" i="3"/>
  <c r="N17" i="3" s="1"/>
  <c r="L15" i="3"/>
  <c r="AC5" i="3"/>
  <c r="AC6" i="3"/>
  <c r="AC7" i="3"/>
  <c r="AC8" i="3"/>
  <c r="AC9" i="3"/>
  <c r="AC11" i="3"/>
  <c r="AC12" i="3"/>
  <c r="AC13" i="3"/>
  <c r="AC14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2" i="3"/>
  <c r="AC243" i="3"/>
  <c r="AC244" i="3"/>
  <c r="AC245" i="3"/>
  <c r="AC246" i="3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V240" i="3" l="1"/>
  <c r="BB17" i="3"/>
  <c r="BG17" i="3" s="1"/>
  <c r="S16" i="3"/>
  <c r="BO16" i="3" s="1"/>
  <c r="S17" i="3"/>
  <c r="CJ17" i="3" s="1"/>
  <c r="S15" i="3"/>
  <c r="N15" i="3"/>
  <c r="Q15" i="3"/>
  <c r="Q17" i="3"/>
  <c r="AH208" i="3"/>
  <c r="AV243" i="3" l="1"/>
  <c r="CJ16" i="3"/>
  <c r="BW16" i="3"/>
  <c r="W16" i="3" s="1"/>
  <c r="BN16" i="3"/>
  <c r="CI16" i="3"/>
  <c r="CM16" i="3" s="1"/>
  <c r="BS16" i="3"/>
  <c r="BT16" i="3" s="1"/>
  <c r="BU16" i="3" s="1"/>
  <c r="BV16" i="3" s="1"/>
  <c r="BW17" i="3"/>
  <c r="W17" i="3" s="1"/>
  <c r="BO17" i="3"/>
  <c r="BQ17" i="3" s="1"/>
  <c r="BR17" i="3" s="1"/>
  <c r="BS17" i="3"/>
  <c r="BT17" i="3" s="1"/>
  <c r="BU17" i="3" s="1"/>
  <c r="BV17" i="3" s="1"/>
  <c r="CI17" i="3"/>
  <c r="CM17" i="3" s="1"/>
  <c r="BN17" i="3"/>
  <c r="BQ16" i="3"/>
  <c r="BR16" i="3" s="1"/>
  <c r="BP16" i="3"/>
  <c r="BO15" i="3"/>
  <c r="BS15" i="3"/>
  <c r="BW15" i="3"/>
  <c r="W15" i="3" s="1"/>
  <c r="CJ15" i="3"/>
  <c r="BN15" i="3"/>
  <c r="CI15" i="3"/>
  <c r="CM15" i="3" s="1"/>
  <c r="T28" i="3"/>
  <c r="J28" i="3" s="1"/>
  <c r="R28" i="3" s="1"/>
  <c r="Q14" i="3"/>
  <c r="B85" i="9"/>
  <c r="B10" i="9"/>
  <c r="AV246" i="3" l="1"/>
  <c r="CL16" i="3"/>
  <c r="CK16" i="3"/>
  <c r="CK15" i="3"/>
  <c r="CL15" i="3"/>
  <c r="CK17" i="3"/>
  <c r="CL17" i="3"/>
  <c r="BP17" i="3"/>
  <c r="BT15" i="3"/>
  <c r="BU15" i="3" s="1"/>
  <c r="BV15" i="3" s="1"/>
  <c r="BP15" i="3"/>
  <c r="BQ15" i="3"/>
  <c r="BR15" i="3" s="1"/>
  <c r="Q28" i="3"/>
  <c r="V16" i="3"/>
  <c r="U17" i="3"/>
  <c r="V17" i="3"/>
  <c r="U16" i="3"/>
  <c r="AV255" i="3" l="1"/>
  <c r="AD16" i="3"/>
  <c r="AS16" i="3" s="1"/>
  <c r="AD17" i="3"/>
  <c r="AS17" i="3" s="1"/>
  <c r="U15" i="3"/>
  <c r="V15" i="3"/>
  <c r="AD15" i="3"/>
  <c r="AV260" i="3" l="1"/>
  <c r="AS15" i="3"/>
  <c r="CG15" i="3" s="1"/>
  <c r="CH15" i="3" s="1"/>
  <c r="AM15" i="3" s="1"/>
  <c r="CG16" i="3"/>
  <c r="CH16" i="3" s="1"/>
  <c r="AM16" i="3" s="1"/>
  <c r="CG17" i="3"/>
  <c r="CH17" i="3" s="1"/>
  <c r="AM17" i="3" s="1"/>
  <c r="L284" i="3"/>
  <c r="AV265" i="3" l="1"/>
  <c r="AT17" i="3"/>
  <c r="AR17" i="3"/>
  <c r="BH17" i="3" s="1"/>
  <c r="AT15" i="3"/>
  <c r="AR15" i="3"/>
  <c r="AR16" i="3"/>
  <c r="BH16" i="3" s="1"/>
  <c r="AT16" i="3"/>
  <c r="AQ13" i="3"/>
  <c r="B38" i="6" s="1"/>
  <c r="AQ14" i="3"/>
  <c r="E38" i="6" s="1"/>
  <c r="AQ19" i="3"/>
  <c r="AQ20" i="3"/>
  <c r="AQ21" i="3"/>
  <c r="AQ22" i="3"/>
  <c r="AQ23" i="3"/>
  <c r="AQ24" i="3"/>
  <c r="AQ25" i="3"/>
  <c r="AQ26" i="3"/>
  <c r="AQ27" i="3"/>
  <c r="AQ28" i="3"/>
  <c r="AQ29" i="3"/>
  <c r="E64" i="6" s="1"/>
  <c r="E65" i="6" s="1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B77" i="6" s="1"/>
  <c r="B78" i="6" s="1"/>
  <c r="AZ42" i="3" s="1"/>
  <c r="J42" i="9" s="1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B51" i="6" s="1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105" i="3"/>
  <c r="AQ106" i="3"/>
  <c r="AQ107" i="3"/>
  <c r="AQ108" i="3"/>
  <c r="AQ109" i="3"/>
  <c r="AQ110" i="3"/>
  <c r="AQ111" i="3"/>
  <c r="AQ112" i="3"/>
  <c r="AQ113" i="3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AQ142" i="3"/>
  <c r="AQ143" i="3"/>
  <c r="AQ144" i="3"/>
  <c r="AQ145" i="3"/>
  <c r="AQ146" i="3"/>
  <c r="AQ147" i="3"/>
  <c r="AQ148" i="3"/>
  <c r="AQ149" i="3"/>
  <c r="AQ150" i="3"/>
  <c r="AQ151" i="3"/>
  <c r="AQ152" i="3"/>
  <c r="AQ153" i="3"/>
  <c r="AQ154" i="3"/>
  <c r="AQ155" i="3"/>
  <c r="AQ156" i="3"/>
  <c r="AQ157" i="3"/>
  <c r="AQ158" i="3"/>
  <c r="AQ159" i="3"/>
  <c r="AQ160" i="3"/>
  <c r="AQ161" i="3"/>
  <c r="AQ162" i="3"/>
  <c r="AQ163" i="3"/>
  <c r="AQ164" i="3"/>
  <c r="AQ165" i="3"/>
  <c r="AQ166" i="3"/>
  <c r="AQ167" i="3"/>
  <c r="AQ168" i="3"/>
  <c r="AQ169" i="3"/>
  <c r="AQ170" i="3"/>
  <c r="AQ171" i="3"/>
  <c r="AQ172" i="3"/>
  <c r="AQ173" i="3"/>
  <c r="AQ174" i="3"/>
  <c r="AQ175" i="3"/>
  <c r="AQ176" i="3"/>
  <c r="AQ177" i="3"/>
  <c r="AQ178" i="3"/>
  <c r="AQ179" i="3"/>
  <c r="AQ180" i="3"/>
  <c r="AQ181" i="3"/>
  <c r="AQ182" i="3"/>
  <c r="AQ183" i="3"/>
  <c r="AQ184" i="3"/>
  <c r="AQ185" i="3"/>
  <c r="AQ186" i="3"/>
  <c r="AQ187" i="3"/>
  <c r="AQ188" i="3"/>
  <c r="AQ189" i="3"/>
  <c r="AQ190" i="3"/>
  <c r="AQ191" i="3"/>
  <c r="AQ192" i="3"/>
  <c r="AQ193" i="3"/>
  <c r="AQ194" i="3"/>
  <c r="AQ195" i="3"/>
  <c r="AQ196" i="3"/>
  <c r="AQ197" i="3"/>
  <c r="AQ198" i="3"/>
  <c r="AQ199" i="3"/>
  <c r="AQ200" i="3"/>
  <c r="AQ201" i="3"/>
  <c r="AQ202" i="3"/>
  <c r="AQ203" i="3"/>
  <c r="AQ204" i="3"/>
  <c r="AQ205" i="3"/>
  <c r="AQ206" i="3"/>
  <c r="AQ207" i="3"/>
  <c r="AQ208" i="3"/>
  <c r="AQ209" i="3"/>
  <c r="AQ210" i="3"/>
  <c r="AQ211" i="3"/>
  <c r="AQ212" i="3"/>
  <c r="AQ213" i="3"/>
  <c r="AQ214" i="3"/>
  <c r="E77" i="6" s="1"/>
  <c r="E78" i="6" s="1"/>
  <c r="AQ215" i="3"/>
  <c r="AQ216" i="3"/>
  <c r="AQ217" i="3"/>
  <c r="AQ218" i="3"/>
  <c r="AQ219" i="3"/>
  <c r="AQ220" i="3"/>
  <c r="AQ221" i="3"/>
  <c r="AQ222" i="3"/>
  <c r="AQ223" i="3"/>
  <c r="AQ224" i="3"/>
  <c r="AQ225" i="3"/>
  <c r="AQ226" i="3"/>
  <c r="AQ227" i="3"/>
  <c r="AQ228" i="3"/>
  <c r="AQ229" i="3"/>
  <c r="AQ230" i="3"/>
  <c r="AQ231" i="3"/>
  <c r="AQ232" i="3"/>
  <c r="AQ233" i="3"/>
  <c r="AQ234" i="3"/>
  <c r="AQ235" i="3"/>
  <c r="AQ236" i="3"/>
  <c r="AQ237" i="3"/>
  <c r="AQ238" i="3"/>
  <c r="AQ239" i="3"/>
  <c r="AQ240" i="3"/>
  <c r="AQ241" i="3"/>
  <c r="AQ242" i="3"/>
  <c r="AQ243" i="3"/>
  <c r="AQ244" i="3"/>
  <c r="AQ245" i="3"/>
  <c r="AQ246" i="3"/>
  <c r="AQ247" i="3"/>
  <c r="AQ248" i="3"/>
  <c r="AQ249" i="3"/>
  <c r="AQ250" i="3"/>
  <c r="AQ251" i="3"/>
  <c r="AQ252" i="3"/>
  <c r="AQ253" i="3"/>
  <c r="AQ254" i="3"/>
  <c r="AQ255" i="3"/>
  <c r="AQ256" i="3"/>
  <c r="AQ257" i="3"/>
  <c r="AQ258" i="3"/>
  <c r="AQ259" i="3"/>
  <c r="AQ260" i="3"/>
  <c r="AQ261" i="3"/>
  <c r="AQ262" i="3"/>
  <c r="AQ263" i="3"/>
  <c r="AQ264" i="3"/>
  <c r="AQ265" i="3"/>
  <c r="AQ266" i="3"/>
  <c r="AQ267" i="3"/>
  <c r="AQ268" i="3"/>
  <c r="AQ269" i="3"/>
  <c r="AQ270" i="3"/>
  <c r="AQ271" i="3"/>
  <c r="AQ272" i="3"/>
  <c r="AQ273" i="3"/>
  <c r="AQ274" i="3"/>
  <c r="AQ275" i="3"/>
  <c r="AQ276" i="3"/>
  <c r="AQ277" i="3"/>
  <c r="AQ278" i="3"/>
  <c r="AQ279" i="3"/>
  <c r="AQ280" i="3"/>
  <c r="AQ281" i="3"/>
  <c r="AQ282" i="3"/>
  <c r="AQ283" i="3"/>
  <c r="AQ284" i="3"/>
  <c r="AQ285" i="3"/>
  <c r="AQ286" i="3"/>
  <c r="AQ287" i="3"/>
  <c r="AQ288" i="3"/>
  <c r="AQ289" i="3"/>
  <c r="AQ290" i="3"/>
  <c r="AQ5" i="3"/>
  <c r="AQ6" i="3"/>
  <c r="AQ7" i="3"/>
  <c r="AQ8" i="3"/>
  <c r="AQ9" i="3"/>
  <c r="AQ10" i="3"/>
  <c r="H38" i="6" s="1"/>
  <c r="AQ11" i="3"/>
  <c r="AQ12" i="3"/>
  <c r="AK6" i="3"/>
  <c r="AL6" i="3"/>
  <c r="AK7" i="3"/>
  <c r="AL7" i="3"/>
  <c r="AK8" i="3"/>
  <c r="AL8" i="3"/>
  <c r="AK9" i="3"/>
  <c r="AL9" i="3"/>
  <c r="AK10" i="3"/>
  <c r="AL10" i="3"/>
  <c r="AK11" i="3"/>
  <c r="AL11" i="3"/>
  <c r="AK12" i="3"/>
  <c r="AL12" i="3"/>
  <c r="AK13" i="3"/>
  <c r="AL13" i="3"/>
  <c r="AK14" i="3"/>
  <c r="AL14" i="3"/>
  <c r="AK19" i="3"/>
  <c r="AL19" i="3"/>
  <c r="AK20" i="3"/>
  <c r="AL20" i="3"/>
  <c r="AK21" i="3"/>
  <c r="AL21" i="3"/>
  <c r="AK22" i="3"/>
  <c r="AL22" i="3"/>
  <c r="AK23" i="3"/>
  <c r="AL23" i="3"/>
  <c r="AK24" i="3"/>
  <c r="AL24" i="3"/>
  <c r="AK25" i="3"/>
  <c r="AL25" i="3"/>
  <c r="AK26" i="3"/>
  <c r="AL26" i="3"/>
  <c r="AK27" i="3"/>
  <c r="AL27" i="3"/>
  <c r="AK28" i="3"/>
  <c r="AL28" i="3"/>
  <c r="AK29" i="3"/>
  <c r="AL29" i="3"/>
  <c r="AK30" i="3"/>
  <c r="AL30" i="3"/>
  <c r="AK31" i="3"/>
  <c r="AL31" i="3"/>
  <c r="AK32" i="3"/>
  <c r="AL32" i="3"/>
  <c r="AK33" i="3"/>
  <c r="AL33" i="3"/>
  <c r="AK34" i="3"/>
  <c r="AL34" i="3"/>
  <c r="AK35" i="3"/>
  <c r="AL35" i="3"/>
  <c r="AK36" i="3"/>
  <c r="AL36" i="3"/>
  <c r="AK37" i="3"/>
  <c r="AL37" i="3"/>
  <c r="AK38" i="3"/>
  <c r="AL38" i="3"/>
  <c r="AK39" i="3"/>
  <c r="AL39" i="3"/>
  <c r="AK40" i="3"/>
  <c r="AL40" i="3"/>
  <c r="AK41" i="3"/>
  <c r="AL41" i="3"/>
  <c r="AK42" i="3"/>
  <c r="AL42" i="3"/>
  <c r="AK43" i="3"/>
  <c r="AL43" i="3"/>
  <c r="AK44" i="3"/>
  <c r="AL44" i="3"/>
  <c r="AK45" i="3"/>
  <c r="AL45" i="3"/>
  <c r="AK46" i="3"/>
  <c r="AL46" i="3"/>
  <c r="AK47" i="3"/>
  <c r="AL47" i="3"/>
  <c r="AK48" i="3"/>
  <c r="AL48" i="3"/>
  <c r="AK49" i="3"/>
  <c r="AL49" i="3"/>
  <c r="AK50" i="3"/>
  <c r="AL50" i="3"/>
  <c r="AK51" i="3"/>
  <c r="AL51" i="3"/>
  <c r="AK52" i="3"/>
  <c r="AL52" i="3"/>
  <c r="AK53" i="3"/>
  <c r="AL53" i="3"/>
  <c r="AK54" i="3"/>
  <c r="AL54" i="3"/>
  <c r="AK55" i="3"/>
  <c r="AL55" i="3"/>
  <c r="AK56" i="3"/>
  <c r="AL56" i="3"/>
  <c r="AK57" i="3"/>
  <c r="AL57" i="3"/>
  <c r="AK58" i="3"/>
  <c r="AL58" i="3"/>
  <c r="AK59" i="3"/>
  <c r="AL59" i="3"/>
  <c r="AK60" i="3"/>
  <c r="AL60" i="3"/>
  <c r="AK61" i="3"/>
  <c r="AL61" i="3"/>
  <c r="AK62" i="3"/>
  <c r="AL62" i="3"/>
  <c r="AK63" i="3"/>
  <c r="AL63" i="3"/>
  <c r="AK64" i="3"/>
  <c r="AL64" i="3"/>
  <c r="AK65" i="3"/>
  <c r="AL65" i="3"/>
  <c r="AK66" i="3"/>
  <c r="AL66" i="3"/>
  <c r="AK67" i="3"/>
  <c r="AL67" i="3"/>
  <c r="AK68" i="3"/>
  <c r="AL68" i="3"/>
  <c r="AK69" i="3"/>
  <c r="AL69" i="3"/>
  <c r="AK70" i="3"/>
  <c r="AL70" i="3"/>
  <c r="AK71" i="3"/>
  <c r="AL71" i="3"/>
  <c r="AK72" i="3"/>
  <c r="AL72" i="3"/>
  <c r="AK73" i="3"/>
  <c r="AL73" i="3"/>
  <c r="AK74" i="3"/>
  <c r="AL74" i="3"/>
  <c r="AK75" i="3"/>
  <c r="AL75" i="3"/>
  <c r="AK76" i="3"/>
  <c r="AL76" i="3"/>
  <c r="AK77" i="3"/>
  <c r="AL77" i="3"/>
  <c r="AK78" i="3"/>
  <c r="AL78" i="3"/>
  <c r="AK79" i="3"/>
  <c r="AL79" i="3"/>
  <c r="AK80" i="3"/>
  <c r="AL80" i="3"/>
  <c r="AK81" i="3"/>
  <c r="AL81" i="3"/>
  <c r="AK82" i="3"/>
  <c r="AL82" i="3"/>
  <c r="AK83" i="3"/>
  <c r="AL83" i="3"/>
  <c r="AK84" i="3"/>
  <c r="AL84" i="3"/>
  <c r="AK85" i="3"/>
  <c r="AL85" i="3"/>
  <c r="AK86" i="3"/>
  <c r="AL86" i="3"/>
  <c r="AK87" i="3"/>
  <c r="AL87" i="3"/>
  <c r="AK88" i="3"/>
  <c r="AL88" i="3"/>
  <c r="AK89" i="3"/>
  <c r="AL89" i="3"/>
  <c r="AK90" i="3"/>
  <c r="AL90" i="3"/>
  <c r="AK91" i="3"/>
  <c r="AL91" i="3"/>
  <c r="AK92" i="3"/>
  <c r="AL92" i="3"/>
  <c r="AK93" i="3"/>
  <c r="AL93" i="3"/>
  <c r="AK94" i="3"/>
  <c r="AL94" i="3"/>
  <c r="AK95" i="3"/>
  <c r="AL95" i="3"/>
  <c r="AK96" i="3"/>
  <c r="AL96" i="3"/>
  <c r="AK97" i="3"/>
  <c r="AL97" i="3"/>
  <c r="AK98" i="3"/>
  <c r="AL98" i="3"/>
  <c r="AK99" i="3"/>
  <c r="AL99" i="3"/>
  <c r="AK100" i="3"/>
  <c r="AL100" i="3"/>
  <c r="AK101" i="3"/>
  <c r="AL101" i="3"/>
  <c r="AK102" i="3"/>
  <c r="AL102" i="3"/>
  <c r="AK103" i="3"/>
  <c r="AL103" i="3"/>
  <c r="AK104" i="3"/>
  <c r="AL104" i="3"/>
  <c r="AK105" i="3"/>
  <c r="AL105" i="3"/>
  <c r="AK106" i="3"/>
  <c r="AL106" i="3"/>
  <c r="AK107" i="3"/>
  <c r="AL107" i="3"/>
  <c r="AK108" i="3"/>
  <c r="AL108" i="3"/>
  <c r="AK109" i="3"/>
  <c r="AL109" i="3"/>
  <c r="AK110" i="3"/>
  <c r="AL110" i="3"/>
  <c r="AK111" i="3"/>
  <c r="AL111" i="3"/>
  <c r="AK112" i="3"/>
  <c r="AL112" i="3"/>
  <c r="AK113" i="3"/>
  <c r="AL113" i="3"/>
  <c r="AK114" i="3"/>
  <c r="AL114" i="3"/>
  <c r="AK115" i="3"/>
  <c r="AL115" i="3"/>
  <c r="AK116" i="3"/>
  <c r="AL116" i="3"/>
  <c r="AK117" i="3"/>
  <c r="AL117" i="3"/>
  <c r="AK118" i="3"/>
  <c r="AL118" i="3"/>
  <c r="AK119" i="3"/>
  <c r="AL119" i="3"/>
  <c r="AK120" i="3"/>
  <c r="AL120" i="3"/>
  <c r="AK121" i="3"/>
  <c r="AL121" i="3"/>
  <c r="AK122" i="3"/>
  <c r="AL122" i="3"/>
  <c r="AK123" i="3"/>
  <c r="AL123" i="3"/>
  <c r="AK124" i="3"/>
  <c r="AL124" i="3"/>
  <c r="AK125" i="3"/>
  <c r="AL125" i="3"/>
  <c r="AK126" i="3"/>
  <c r="AL126" i="3"/>
  <c r="AK127" i="3"/>
  <c r="AL127" i="3"/>
  <c r="AK128" i="3"/>
  <c r="AL128" i="3"/>
  <c r="AK129" i="3"/>
  <c r="AL129" i="3"/>
  <c r="AK130" i="3"/>
  <c r="AL130" i="3"/>
  <c r="AK131" i="3"/>
  <c r="AL131" i="3"/>
  <c r="AK132" i="3"/>
  <c r="AL132" i="3"/>
  <c r="AK133" i="3"/>
  <c r="AL133" i="3"/>
  <c r="AK134" i="3"/>
  <c r="AL134" i="3"/>
  <c r="AK135" i="3"/>
  <c r="AL135" i="3"/>
  <c r="AK136" i="3"/>
  <c r="AL136" i="3"/>
  <c r="AK137" i="3"/>
  <c r="AL137" i="3"/>
  <c r="AK138" i="3"/>
  <c r="AL138" i="3"/>
  <c r="AK139" i="3"/>
  <c r="AL139" i="3"/>
  <c r="AK140" i="3"/>
  <c r="AL140" i="3"/>
  <c r="AK141" i="3"/>
  <c r="AL141" i="3"/>
  <c r="AK142" i="3"/>
  <c r="AL142" i="3"/>
  <c r="AK143" i="3"/>
  <c r="AL143" i="3"/>
  <c r="AK144" i="3"/>
  <c r="AL144" i="3"/>
  <c r="AK145" i="3"/>
  <c r="AL145" i="3"/>
  <c r="AK146" i="3"/>
  <c r="AL146" i="3"/>
  <c r="AK147" i="3"/>
  <c r="AL147" i="3"/>
  <c r="AK148" i="3"/>
  <c r="AL148" i="3"/>
  <c r="AK149" i="3"/>
  <c r="AL149" i="3"/>
  <c r="AK150" i="3"/>
  <c r="AL150" i="3"/>
  <c r="AK151" i="3"/>
  <c r="AL151" i="3"/>
  <c r="AK152" i="3"/>
  <c r="AL152" i="3"/>
  <c r="AK153" i="3"/>
  <c r="AL153" i="3"/>
  <c r="AK154" i="3"/>
  <c r="AL154" i="3"/>
  <c r="AK155" i="3"/>
  <c r="AL155" i="3"/>
  <c r="AK156" i="3"/>
  <c r="AL156" i="3"/>
  <c r="AK157" i="3"/>
  <c r="AL157" i="3"/>
  <c r="AK158" i="3"/>
  <c r="AL158" i="3"/>
  <c r="AK159" i="3"/>
  <c r="AL159" i="3"/>
  <c r="AK160" i="3"/>
  <c r="AL160" i="3"/>
  <c r="AK161" i="3"/>
  <c r="AL161" i="3"/>
  <c r="AK162" i="3"/>
  <c r="AL162" i="3"/>
  <c r="AK163" i="3"/>
  <c r="AL163" i="3"/>
  <c r="AK164" i="3"/>
  <c r="AL164" i="3"/>
  <c r="AK165" i="3"/>
  <c r="AL165" i="3"/>
  <c r="AK166" i="3"/>
  <c r="AL166" i="3"/>
  <c r="AK167" i="3"/>
  <c r="AL167" i="3"/>
  <c r="AK168" i="3"/>
  <c r="AL168" i="3"/>
  <c r="AK169" i="3"/>
  <c r="AL169" i="3"/>
  <c r="AK170" i="3"/>
  <c r="AL170" i="3"/>
  <c r="AK171" i="3"/>
  <c r="AL171" i="3"/>
  <c r="AK172" i="3"/>
  <c r="AL172" i="3"/>
  <c r="AK173" i="3"/>
  <c r="AL173" i="3"/>
  <c r="AK174" i="3"/>
  <c r="AL174" i="3"/>
  <c r="AK175" i="3"/>
  <c r="AL175" i="3"/>
  <c r="AK176" i="3"/>
  <c r="AL176" i="3"/>
  <c r="AK177" i="3"/>
  <c r="AL177" i="3"/>
  <c r="AK178" i="3"/>
  <c r="AL178" i="3"/>
  <c r="AK179" i="3"/>
  <c r="AL179" i="3"/>
  <c r="AK180" i="3"/>
  <c r="AL180" i="3"/>
  <c r="AK181" i="3"/>
  <c r="AL181" i="3"/>
  <c r="AK182" i="3"/>
  <c r="AL182" i="3"/>
  <c r="AK183" i="3"/>
  <c r="AL183" i="3"/>
  <c r="AK184" i="3"/>
  <c r="AL184" i="3"/>
  <c r="AK185" i="3"/>
  <c r="AL185" i="3"/>
  <c r="AK186" i="3"/>
  <c r="AL186" i="3"/>
  <c r="AK187" i="3"/>
  <c r="AL187" i="3"/>
  <c r="AK188" i="3"/>
  <c r="AL188" i="3"/>
  <c r="AK189" i="3"/>
  <c r="AL189" i="3"/>
  <c r="AK190" i="3"/>
  <c r="AL190" i="3"/>
  <c r="AK191" i="3"/>
  <c r="AL191" i="3"/>
  <c r="AK192" i="3"/>
  <c r="AL192" i="3"/>
  <c r="AK193" i="3"/>
  <c r="AL193" i="3"/>
  <c r="AK194" i="3"/>
  <c r="AL194" i="3"/>
  <c r="AK195" i="3"/>
  <c r="AL195" i="3"/>
  <c r="AK196" i="3"/>
  <c r="AL196" i="3"/>
  <c r="AK197" i="3"/>
  <c r="AL197" i="3"/>
  <c r="AK198" i="3"/>
  <c r="AL198" i="3"/>
  <c r="AK199" i="3"/>
  <c r="AL199" i="3"/>
  <c r="AK200" i="3"/>
  <c r="AL200" i="3"/>
  <c r="AK201" i="3"/>
  <c r="AL201" i="3"/>
  <c r="AK202" i="3"/>
  <c r="AL202" i="3"/>
  <c r="AK203" i="3"/>
  <c r="AL203" i="3"/>
  <c r="AK204" i="3"/>
  <c r="AL204" i="3"/>
  <c r="AK205" i="3"/>
  <c r="AL205" i="3"/>
  <c r="AK206" i="3"/>
  <c r="AL206" i="3"/>
  <c r="AK207" i="3"/>
  <c r="AL207" i="3"/>
  <c r="AK208" i="3"/>
  <c r="AL208" i="3"/>
  <c r="AK209" i="3"/>
  <c r="AL209" i="3"/>
  <c r="AK210" i="3"/>
  <c r="AL210" i="3"/>
  <c r="AK211" i="3"/>
  <c r="AL211" i="3"/>
  <c r="AK212" i="3"/>
  <c r="AL212" i="3"/>
  <c r="AK213" i="3"/>
  <c r="AL213" i="3"/>
  <c r="AK214" i="3"/>
  <c r="AL214" i="3"/>
  <c r="AK215" i="3"/>
  <c r="AL215" i="3"/>
  <c r="AK216" i="3"/>
  <c r="AL216" i="3"/>
  <c r="AK217" i="3"/>
  <c r="AL217" i="3"/>
  <c r="AK218" i="3"/>
  <c r="AL218" i="3"/>
  <c r="AK219" i="3"/>
  <c r="AL219" i="3"/>
  <c r="AK220" i="3"/>
  <c r="AL220" i="3"/>
  <c r="AK221" i="3"/>
  <c r="AL221" i="3"/>
  <c r="AK222" i="3"/>
  <c r="AL222" i="3"/>
  <c r="AK223" i="3"/>
  <c r="AL223" i="3"/>
  <c r="AK224" i="3"/>
  <c r="AL224" i="3"/>
  <c r="AK225" i="3"/>
  <c r="AL225" i="3"/>
  <c r="AK226" i="3"/>
  <c r="AL226" i="3"/>
  <c r="AK227" i="3"/>
  <c r="AL227" i="3"/>
  <c r="AK228" i="3"/>
  <c r="AL228" i="3"/>
  <c r="AK229" i="3"/>
  <c r="AL229" i="3"/>
  <c r="AK230" i="3"/>
  <c r="AL230" i="3"/>
  <c r="AK231" i="3"/>
  <c r="AL231" i="3"/>
  <c r="AK232" i="3"/>
  <c r="AL232" i="3"/>
  <c r="AK233" i="3"/>
  <c r="AL233" i="3"/>
  <c r="AK234" i="3"/>
  <c r="AL234" i="3"/>
  <c r="AK235" i="3"/>
  <c r="AL235" i="3"/>
  <c r="AK236" i="3"/>
  <c r="AL236" i="3"/>
  <c r="AK237" i="3"/>
  <c r="AL237" i="3"/>
  <c r="AK238" i="3"/>
  <c r="AL238" i="3"/>
  <c r="AK239" i="3"/>
  <c r="AL239" i="3"/>
  <c r="AK240" i="3"/>
  <c r="AL240" i="3"/>
  <c r="AK241" i="3"/>
  <c r="AL241" i="3"/>
  <c r="AK242" i="3"/>
  <c r="AL242" i="3"/>
  <c r="AK243" i="3"/>
  <c r="AL243" i="3"/>
  <c r="AK244" i="3"/>
  <c r="AL244" i="3"/>
  <c r="AK245" i="3"/>
  <c r="AL245" i="3"/>
  <c r="AK246" i="3"/>
  <c r="AL246" i="3"/>
  <c r="AK247" i="3"/>
  <c r="AL247" i="3"/>
  <c r="AK248" i="3"/>
  <c r="AL248" i="3"/>
  <c r="AK249" i="3"/>
  <c r="AL249" i="3"/>
  <c r="AK250" i="3"/>
  <c r="AL250" i="3"/>
  <c r="AK251" i="3"/>
  <c r="AL251" i="3"/>
  <c r="AK252" i="3"/>
  <c r="AL252" i="3"/>
  <c r="AK253" i="3"/>
  <c r="AL253" i="3"/>
  <c r="AK254" i="3"/>
  <c r="AL254" i="3"/>
  <c r="AK255" i="3"/>
  <c r="AL255" i="3"/>
  <c r="AK256" i="3"/>
  <c r="AL256" i="3"/>
  <c r="AK257" i="3"/>
  <c r="AL257" i="3"/>
  <c r="AK258" i="3"/>
  <c r="AL258" i="3"/>
  <c r="AK259" i="3"/>
  <c r="AL259" i="3"/>
  <c r="AK260" i="3"/>
  <c r="AL260" i="3"/>
  <c r="AK261" i="3"/>
  <c r="AL261" i="3"/>
  <c r="AK262" i="3"/>
  <c r="AL262" i="3"/>
  <c r="AK263" i="3"/>
  <c r="AL263" i="3"/>
  <c r="AK264" i="3"/>
  <c r="AL264" i="3"/>
  <c r="AK265" i="3"/>
  <c r="AL265" i="3"/>
  <c r="AK266" i="3"/>
  <c r="AL266" i="3"/>
  <c r="AK267" i="3"/>
  <c r="AL267" i="3"/>
  <c r="AK268" i="3"/>
  <c r="AL268" i="3"/>
  <c r="AK269" i="3"/>
  <c r="AL269" i="3"/>
  <c r="AK270" i="3"/>
  <c r="AL270" i="3"/>
  <c r="AK271" i="3"/>
  <c r="AL271" i="3"/>
  <c r="AK272" i="3"/>
  <c r="AL272" i="3"/>
  <c r="AK273" i="3"/>
  <c r="AL273" i="3"/>
  <c r="AK274" i="3"/>
  <c r="AL274" i="3"/>
  <c r="AK275" i="3"/>
  <c r="AL275" i="3"/>
  <c r="AK276" i="3"/>
  <c r="AL276" i="3"/>
  <c r="AK277" i="3"/>
  <c r="AL277" i="3"/>
  <c r="AK278" i="3"/>
  <c r="AL278" i="3"/>
  <c r="AK279" i="3"/>
  <c r="AL279" i="3"/>
  <c r="AK280" i="3"/>
  <c r="AL280" i="3"/>
  <c r="AK281" i="3"/>
  <c r="AL281" i="3"/>
  <c r="AK282" i="3"/>
  <c r="AL282" i="3"/>
  <c r="AK283" i="3"/>
  <c r="AL283" i="3"/>
  <c r="AK284" i="3"/>
  <c r="AL284" i="3"/>
  <c r="AK285" i="3"/>
  <c r="AL285" i="3"/>
  <c r="AK286" i="3"/>
  <c r="AL286" i="3"/>
  <c r="AK287" i="3"/>
  <c r="AL287" i="3"/>
  <c r="AK288" i="3"/>
  <c r="AL288" i="3"/>
  <c r="AK289" i="3"/>
  <c r="AL289" i="3"/>
  <c r="AK290" i="3"/>
  <c r="AL290" i="3"/>
  <c r="AH6" i="3"/>
  <c r="AH7" i="3"/>
  <c r="AH8" i="3"/>
  <c r="AH9" i="3"/>
  <c r="AH10" i="3"/>
  <c r="AH11" i="3"/>
  <c r="AH12" i="3"/>
  <c r="AH13" i="3"/>
  <c r="AH14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222" i="3"/>
  <c r="AH223" i="3"/>
  <c r="AH224" i="3"/>
  <c r="AH225" i="3"/>
  <c r="AH226" i="3"/>
  <c r="AH227" i="3"/>
  <c r="AH228" i="3"/>
  <c r="AH229" i="3"/>
  <c r="AH230" i="3"/>
  <c r="AH231" i="3"/>
  <c r="AH232" i="3"/>
  <c r="AH233" i="3"/>
  <c r="AH234" i="3"/>
  <c r="AH235" i="3"/>
  <c r="AH236" i="3"/>
  <c r="AH237" i="3"/>
  <c r="AH238" i="3"/>
  <c r="AH239" i="3"/>
  <c r="AH240" i="3"/>
  <c r="AH241" i="3"/>
  <c r="AH242" i="3"/>
  <c r="AH243" i="3"/>
  <c r="AH244" i="3"/>
  <c r="AH245" i="3"/>
  <c r="AH246" i="3"/>
  <c r="AH247" i="3"/>
  <c r="AH248" i="3"/>
  <c r="AH249" i="3"/>
  <c r="AH250" i="3"/>
  <c r="AH251" i="3"/>
  <c r="AH252" i="3"/>
  <c r="AH253" i="3"/>
  <c r="AH254" i="3"/>
  <c r="AH255" i="3"/>
  <c r="AH256" i="3"/>
  <c r="AH257" i="3"/>
  <c r="AH258" i="3"/>
  <c r="AH259" i="3"/>
  <c r="AH260" i="3"/>
  <c r="AH261" i="3"/>
  <c r="AH262" i="3"/>
  <c r="AH263" i="3"/>
  <c r="AH264" i="3"/>
  <c r="AH265" i="3"/>
  <c r="AH266" i="3"/>
  <c r="AH267" i="3"/>
  <c r="AH268" i="3"/>
  <c r="AH269" i="3"/>
  <c r="AH270" i="3"/>
  <c r="AH271" i="3"/>
  <c r="AH272" i="3"/>
  <c r="AH273" i="3"/>
  <c r="AH274" i="3"/>
  <c r="AH275" i="3"/>
  <c r="AH276" i="3"/>
  <c r="AH277" i="3"/>
  <c r="AH278" i="3"/>
  <c r="AH279" i="3"/>
  <c r="AH280" i="3"/>
  <c r="AH281" i="3"/>
  <c r="AH282" i="3"/>
  <c r="AH283" i="3"/>
  <c r="AH284" i="3"/>
  <c r="AH285" i="3"/>
  <c r="AH286" i="3"/>
  <c r="AH287" i="3"/>
  <c r="AH288" i="3"/>
  <c r="AH289" i="3"/>
  <c r="AH290" i="3"/>
  <c r="AH5" i="3"/>
  <c r="AF6" i="3"/>
  <c r="AF7" i="3"/>
  <c r="AF8" i="3"/>
  <c r="AF9" i="3"/>
  <c r="AF10" i="3"/>
  <c r="AF11" i="3"/>
  <c r="AF12" i="3"/>
  <c r="AF13" i="3"/>
  <c r="AF14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C290" i="3"/>
  <c r="AC4" i="3" s="1"/>
  <c r="AF5" i="3"/>
  <c r="AA5" i="3"/>
  <c r="AA4" i="3" s="1"/>
  <c r="Y5" i="3"/>
  <c r="Y4" i="3" s="1"/>
  <c r="BH15" i="3" l="1"/>
  <c r="BJ15" i="3" s="1"/>
  <c r="BL15" i="3" s="1"/>
  <c r="BM15" i="3" s="1"/>
  <c r="CX15" i="3"/>
  <c r="CY15" i="3" s="1"/>
  <c r="AU15" i="3" s="1"/>
  <c r="AY15" i="3" s="1"/>
  <c r="AV270" i="3"/>
  <c r="AL4" i="3"/>
  <c r="AK4" i="3"/>
  <c r="AF4" i="3"/>
  <c r="AH4" i="3"/>
  <c r="AQ4" i="3"/>
  <c r="BB42" i="3"/>
  <c r="BG42" i="3" s="1"/>
  <c r="BJ17" i="3"/>
  <c r="BL17" i="3" s="1"/>
  <c r="BM17" i="3" s="1"/>
  <c r="BJ16" i="3"/>
  <c r="BL16" i="3" s="1"/>
  <c r="BM16" i="3" s="1"/>
  <c r="CY16" i="3"/>
  <c r="AU16" i="3" s="1"/>
  <c r="E52" i="6"/>
  <c r="L14" i="3"/>
  <c r="AN14" i="3"/>
  <c r="B47" i="6"/>
  <c r="B50" i="6" s="1"/>
  <c r="E34" i="6"/>
  <c r="E37" i="6" s="1"/>
  <c r="H34" i="6"/>
  <c r="H37" i="6" s="1"/>
  <c r="AZ15" i="3" l="1"/>
  <c r="J15" i="9" s="1"/>
  <c r="AV272" i="3"/>
  <c r="AY16" i="3"/>
  <c r="AZ16" i="3"/>
  <c r="J16" i="9" s="1"/>
  <c r="S14" i="3"/>
  <c r="N14" i="3"/>
  <c r="E39" i="6"/>
  <c r="B52" i="6"/>
  <c r="H39" i="6"/>
  <c r="AN24" i="3"/>
  <c r="AN35" i="3"/>
  <c r="AN47" i="3"/>
  <c r="AN87" i="3"/>
  <c r="AN104" i="3"/>
  <c r="AN146" i="3"/>
  <c r="AN157" i="3"/>
  <c r="AN174" i="3"/>
  <c r="AN178" i="3"/>
  <c r="AN188" i="3"/>
  <c r="AN194" i="3"/>
  <c r="AN224" i="3"/>
  <c r="AN238" i="3"/>
  <c r="AN242" i="3"/>
  <c r="AN243" i="3"/>
  <c r="AN250" i="3"/>
  <c r="AN255" i="3"/>
  <c r="AN271" i="3"/>
  <c r="AN275" i="3"/>
  <c r="AN276" i="3"/>
  <c r="AN284" i="3"/>
  <c r="B25" i="6"/>
  <c r="E25" i="6"/>
  <c r="H25" i="6"/>
  <c r="T6" i="3"/>
  <c r="J6" i="3" s="1"/>
  <c r="R6" i="3" s="1"/>
  <c r="T7" i="3"/>
  <c r="J7" i="3" s="1"/>
  <c r="R7" i="3" s="1"/>
  <c r="T8" i="3"/>
  <c r="J8" i="3" s="1"/>
  <c r="R8" i="3" s="1"/>
  <c r="T9" i="3"/>
  <c r="J9" i="3" s="1"/>
  <c r="R9" i="3" s="1"/>
  <c r="T10" i="3"/>
  <c r="J10" i="3" s="1"/>
  <c r="R10" i="3" s="1"/>
  <c r="T11" i="3"/>
  <c r="J11" i="3" s="1"/>
  <c r="R11" i="3" s="1"/>
  <c r="T12" i="3"/>
  <c r="J12" i="3" s="1"/>
  <c r="R12" i="3" s="1"/>
  <c r="T13" i="3"/>
  <c r="J13" i="3" s="1"/>
  <c r="R13" i="3" s="1"/>
  <c r="T19" i="3"/>
  <c r="J19" i="3" s="1"/>
  <c r="R19" i="3" s="1"/>
  <c r="T20" i="3"/>
  <c r="J20" i="3" s="1"/>
  <c r="R20" i="3" s="1"/>
  <c r="T21" i="3"/>
  <c r="J21" i="3" s="1"/>
  <c r="R21" i="3" s="1"/>
  <c r="T22" i="3"/>
  <c r="J22" i="3" s="1"/>
  <c r="R22" i="3" s="1"/>
  <c r="T23" i="3"/>
  <c r="J23" i="3" s="1"/>
  <c r="R23" i="3" s="1"/>
  <c r="T24" i="3"/>
  <c r="J24" i="3" s="1"/>
  <c r="R24" i="3" s="1"/>
  <c r="T25" i="3"/>
  <c r="J25" i="3" s="1"/>
  <c r="R25" i="3" s="1"/>
  <c r="T26" i="3"/>
  <c r="J26" i="3" s="1"/>
  <c r="R26" i="3" s="1"/>
  <c r="T27" i="3"/>
  <c r="J27" i="3" s="1"/>
  <c r="R27" i="3" s="1"/>
  <c r="T29" i="3"/>
  <c r="J29" i="3" s="1"/>
  <c r="R29" i="3" s="1"/>
  <c r="T30" i="3"/>
  <c r="J30" i="3" s="1"/>
  <c r="R30" i="3" s="1"/>
  <c r="T31" i="3"/>
  <c r="J31" i="3" s="1"/>
  <c r="R31" i="3" s="1"/>
  <c r="T32" i="3"/>
  <c r="J32" i="3" s="1"/>
  <c r="R32" i="3" s="1"/>
  <c r="T33" i="3"/>
  <c r="J33" i="3" s="1"/>
  <c r="R33" i="3" s="1"/>
  <c r="T34" i="3"/>
  <c r="J34" i="3" s="1"/>
  <c r="R34" i="3" s="1"/>
  <c r="T35" i="3"/>
  <c r="J35" i="3" s="1"/>
  <c r="R35" i="3" s="1"/>
  <c r="T36" i="3"/>
  <c r="J36" i="3" s="1"/>
  <c r="R36" i="3" s="1"/>
  <c r="T37" i="3"/>
  <c r="J37" i="3" s="1"/>
  <c r="R37" i="3" s="1"/>
  <c r="T38" i="3"/>
  <c r="J38" i="3" s="1"/>
  <c r="R38" i="3" s="1"/>
  <c r="T39" i="3"/>
  <c r="J39" i="3" s="1"/>
  <c r="R39" i="3" s="1"/>
  <c r="T40" i="3"/>
  <c r="J40" i="3" s="1"/>
  <c r="R40" i="3" s="1"/>
  <c r="T41" i="3"/>
  <c r="J41" i="3" s="1"/>
  <c r="R41" i="3" s="1"/>
  <c r="T42" i="3"/>
  <c r="J42" i="3" s="1"/>
  <c r="R42" i="3" s="1"/>
  <c r="T43" i="3"/>
  <c r="J43" i="3" s="1"/>
  <c r="R43" i="3" s="1"/>
  <c r="T44" i="3"/>
  <c r="J44" i="3" s="1"/>
  <c r="R44" i="3" s="1"/>
  <c r="T45" i="3"/>
  <c r="J45" i="3" s="1"/>
  <c r="R45" i="3" s="1"/>
  <c r="T46" i="3"/>
  <c r="J46" i="3" s="1"/>
  <c r="R46" i="3" s="1"/>
  <c r="T47" i="3"/>
  <c r="J47" i="3" s="1"/>
  <c r="R47" i="3" s="1"/>
  <c r="T48" i="3"/>
  <c r="J48" i="3" s="1"/>
  <c r="R48" i="3" s="1"/>
  <c r="T49" i="3"/>
  <c r="J49" i="3" s="1"/>
  <c r="R49" i="3" s="1"/>
  <c r="T50" i="3"/>
  <c r="J50" i="3" s="1"/>
  <c r="R50" i="3" s="1"/>
  <c r="T51" i="3"/>
  <c r="J51" i="3" s="1"/>
  <c r="R51" i="3" s="1"/>
  <c r="T52" i="3"/>
  <c r="J52" i="3" s="1"/>
  <c r="R52" i="3" s="1"/>
  <c r="T53" i="3"/>
  <c r="J53" i="3" s="1"/>
  <c r="R53" i="3" s="1"/>
  <c r="T54" i="3"/>
  <c r="J54" i="3" s="1"/>
  <c r="R54" i="3" s="1"/>
  <c r="T55" i="3"/>
  <c r="J55" i="3" s="1"/>
  <c r="R55" i="3" s="1"/>
  <c r="T56" i="3"/>
  <c r="J56" i="3" s="1"/>
  <c r="R56" i="3" s="1"/>
  <c r="T57" i="3"/>
  <c r="J57" i="3" s="1"/>
  <c r="R57" i="3" s="1"/>
  <c r="T58" i="3"/>
  <c r="J58" i="3" s="1"/>
  <c r="R58" i="3" s="1"/>
  <c r="T59" i="3"/>
  <c r="J59" i="3" s="1"/>
  <c r="R59" i="3" s="1"/>
  <c r="T60" i="3"/>
  <c r="J60" i="3" s="1"/>
  <c r="R60" i="3" s="1"/>
  <c r="T61" i="3"/>
  <c r="J61" i="3" s="1"/>
  <c r="R61" i="3" s="1"/>
  <c r="T62" i="3"/>
  <c r="T63" i="3"/>
  <c r="J63" i="3" s="1"/>
  <c r="R63" i="3" s="1"/>
  <c r="T64" i="3"/>
  <c r="J64" i="3" s="1"/>
  <c r="R64" i="3" s="1"/>
  <c r="T65" i="3"/>
  <c r="J65" i="3" s="1"/>
  <c r="R65" i="3" s="1"/>
  <c r="T66" i="3"/>
  <c r="J66" i="3" s="1"/>
  <c r="R66" i="3" s="1"/>
  <c r="T67" i="3"/>
  <c r="J67" i="3" s="1"/>
  <c r="R67" i="3" s="1"/>
  <c r="T68" i="3"/>
  <c r="J68" i="3" s="1"/>
  <c r="R68" i="3" s="1"/>
  <c r="T69" i="3"/>
  <c r="J69" i="3" s="1"/>
  <c r="R69" i="3" s="1"/>
  <c r="T70" i="3"/>
  <c r="J70" i="3" s="1"/>
  <c r="R70" i="3" s="1"/>
  <c r="T71" i="3"/>
  <c r="J71" i="3" s="1"/>
  <c r="R71" i="3" s="1"/>
  <c r="T72" i="3"/>
  <c r="J72" i="3" s="1"/>
  <c r="R72" i="3" s="1"/>
  <c r="T73" i="3"/>
  <c r="J73" i="3" s="1"/>
  <c r="R73" i="3" s="1"/>
  <c r="T74" i="3"/>
  <c r="J74" i="3" s="1"/>
  <c r="R74" i="3" s="1"/>
  <c r="T75" i="3"/>
  <c r="J75" i="3" s="1"/>
  <c r="R75" i="3" s="1"/>
  <c r="T76" i="3"/>
  <c r="J76" i="3" s="1"/>
  <c r="R76" i="3" s="1"/>
  <c r="T77" i="3"/>
  <c r="J77" i="3" s="1"/>
  <c r="R77" i="3" s="1"/>
  <c r="T78" i="3"/>
  <c r="J78" i="3" s="1"/>
  <c r="R78" i="3" s="1"/>
  <c r="T79" i="3"/>
  <c r="J79" i="3" s="1"/>
  <c r="R79" i="3" s="1"/>
  <c r="T80" i="3"/>
  <c r="J80" i="3" s="1"/>
  <c r="R80" i="3" s="1"/>
  <c r="T81" i="3"/>
  <c r="J81" i="3" s="1"/>
  <c r="R81" i="3" s="1"/>
  <c r="T82" i="3"/>
  <c r="J82" i="3" s="1"/>
  <c r="R82" i="3" s="1"/>
  <c r="J83" i="3"/>
  <c r="R83" i="3" s="1"/>
  <c r="T84" i="3"/>
  <c r="J84" i="3" s="1"/>
  <c r="R84" i="3" s="1"/>
  <c r="T85" i="3"/>
  <c r="J85" i="3" s="1"/>
  <c r="R85" i="3" s="1"/>
  <c r="T86" i="3"/>
  <c r="J86" i="3" s="1"/>
  <c r="R86" i="3" s="1"/>
  <c r="T87" i="3"/>
  <c r="J87" i="3" s="1"/>
  <c r="R87" i="3" s="1"/>
  <c r="T88" i="3"/>
  <c r="J88" i="3" s="1"/>
  <c r="R88" i="3" s="1"/>
  <c r="T89" i="3"/>
  <c r="J89" i="3" s="1"/>
  <c r="R89" i="3" s="1"/>
  <c r="T90" i="3"/>
  <c r="J90" i="3" s="1"/>
  <c r="R90" i="3" s="1"/>
  <c r="T91" i="3"/>
  <c r="J91" i="3" s="1"/>
  <c r="R91" i="3" s="1"/>
  <c r="T92" i="3"/>
  <c r="J92" i="3" s="1"/>
  <c r="R92" i="3" s="1"/>
  <c r="T93" i="3"/>
  <c r="J93" i="3" s="1"/>
  <c r="R93" i="3" s="1"/>
  <c r="T94" i="3"/>
  <c r="J94" i="3" s="1"/>
  <c r="R94" i="3" s="1"/>
  <c r="T95" i="3"/>
  <c r="J95" i="3" s="1"/>
  <c r="R95" i="3" s="1"/>
  <c r="T96" i="3"/>
  <c r="J96" i="3" s="1"/>
  <c r="R96" i="3" s="1"/>
  <c r="T97" i="3"/>
  <c r="J97" i="3" s="1"/>
  <c r="R97" i="3" s="1"/>
  <c r="T98" i="3"/>
  <c r="J98" i="3" s="1"/>
  <c r="R98" i="3" s="1"/>
  <c r="T99" i="3"/>
  <c r="J99" i="3" s="1"/>
  <c r="R99" i="3" s="1"/>
  <c r="T100" i="3"/>
  <c r="J100" i="3" s="1"/>
  <c r="R100" i="3" s="1"/>
  <c r="T101" i="3"/>
  <c r="J101" i="3" s="1"/>
  <c r="R101" i="3" s="1"/>
  <c r="T102" i="3"/>
  <c r="J102" i="3" s="1"/>
  <c r="R102" i="3" s="1"/>
  <c r="T103" i="3"/>
  <c r="J103" i="3" s="1"/>
  <c r="R103" i="3" s="1"/>
  <c r="T104" i="3"/>
  <c r="J104" i="3" s="1"/>
  <c r="R104" i="3" s="1"/>
  <c r="T105" i="3"/>
  <c r="J105" i="3" s="1"/>
  <c r="R105" i="3" s="1"/>
  <c r="T106" i="3"/>
  <c r="J106" i="3" s="1"/>
  <c r="R106" i="3" s="1"/>
  <c r="T107" i="3"/>
  <c r="J107" i="3" s="1"/>
  <c r="R107" i="3" s="1"/>
  <c r="T108" i="3"/>
  <c r="J108" i="3" s="1"/>
  <c r="R108" i="3" s="1"/>
  <c r="T109" i="3"/>
  <c r="J109" i="3" s="1"/>
  <c r="R109" i="3" s="1"/>
  <c r="T110" i="3"/>
  <c r="J110" i="3" s="1"/>
  <c r="R110" i="3" s="1"/>
  <c r="T111" i="3"/>
  <c r="J111" i="3" s="1"/>
  <c r="R111" i="3" s="1"/>
  <c r="T112" i="3"/>
  <c r="J112" i="3" s="1"/>
  <c r="R112" i="3" s="1"/>
  <c r="T113" i="3"/>
  <c r="J113" i="3" s="1"/>
  <c r="R113" i="3" s="1"/>
  <c r="T114" i="3"/>
  <c r="J114" i="3" s="1"/>
  <c r="R114" i="3" s="1"/>
  <c r="T115" i="3"/>
  <c r="J115" i="3" s="1"/>
  <c r="R115" i="3" s="1"/>
  <c r="T116" i="3"/>
  <c r="J116" i="3" s="1"/>
  <c r="R116" i="3" s="1"/>
  <c r="T117" i="3"/>
  <c r="J117" i="3" s="1"/>
  <c r="R117" i="3" s="1"/>
  <c r="T118" i="3"/>
  <c r="J118" i="3" s="1"/>
  <c r="R118" i="3" s="1"/>
  <c r="T119" i="3"/>
  <c r="J119" i="3" s="1"/>
  <c r="R119" i="3" s="1"/>
  <c r="T120" i="3"/>
  <c r="J120" i="3" s="1"/>
  <c r="R120" i="3" s="1"/>
  <c r="T121" i="3"/>
  <c r="J121" i="3" s="1"/>
  <c r="R121" i="3" s="1"/>
  <c r="T122" i="3"/>
  <c r="J122" i="3" s="1"/>
  <c r="R122" i="3" s="1"/>
  <c r="T123" i="3"/>
  <c r="J123" i="3" s="1"/>
  <c r="R123" i="3" s="1"/>
  <c r="T124" i="3"/>
  <c r="J124" i="3" s="1"/>
  <c r="R124" i="3" s="1"/>
  <c r="T125" i="3"/>
  <c r="J125" i="3" s="1"/>
  <c r="R125" i="3" s="1"/>
  <c r="T126" i="3"/>
  <c r="J126" i="3" s="1"/>
  <c r="R126" i="3" s="1"/>
  <c r="T127" i="3"/>
  <c r="J127" i="3" s="1"/>
  <c r="R127" i="3" s="1"/>
  <c r="T128" i="3"/>
  <c r="J128" i="3" s="1"/>
  <c r="R128" i="3" s="1"/>
  <c r="T129" i="3"/>
  <c r="J129" i="3" s="1"/>
  <c r="R129" i="3" s="1"/>
  <c r="T130" i="3"/>
  <c r="J130" i="3" s="1"/>
  <c r="R130" i="3" s="1"/>
  <c r="T131" i="3"/>
  <c r="J131" i="3" s="1"/>
  <c r="R131" i="3" s="1"/>
  <c r="T132" i="3"/>
  <c r="J132" i="3" s="1"/>
  <c r="R132" i="3" s="1"/>
  <c r="T133" i="3"/>
  <c r="J133" i="3" s="1"/>
  <c r="R133" i="3" s="1"/>
  <c r="T134" i="3"/>
  <c r="J134" i="3" s="1"/>
  <c r="R134" i="3" s="1"/>
  <c r="T135" i="3"/>
  <c r="J135" i="3" s="1"/>
  <c r="R135" i="3" s="1"/>
  <c r="T136" i="3"/>
  <c r="J136" i="3" s="1"/>
  <c r="R136" i="3" s="1"/>
  <c r="T137" i="3"/>
  <c r="J137" i="3" s="1"/>
  <c r="R137" i="3" s="1"/>
  <c r="T138" i="3"/>
  <c r="J138" i="3" s="1"/>
  <c r="R138" i="3" s="1"/>
  <c r="T139" i="3"/>
  <c r="J139" i="3" s="1"/>
  <c r="R139" i="3" s="1"/>
  <c r="T140" i="3"/>
  <c r="J140" i="3" s="1"/>
  <c r="R140" i="3" s="1"/>
  <c r="T141" i="3"/>
  <c r="J141" i="3" s="1"/>
  <c r="R141" i="3" s="1"/>
  <c r="T142" i="3"/>
  <c r="J142" i="3" s="1"/>
  <c r="R142" i="3" s="1"/>
  <c r="T143" i="3"/>
  <c r="J143" i="3" s="1"/>
  <c r="R143" i="3" s="1"/>
  <c r="T144" i="3"/>
  <c r="J144" i="3" s="1"/>
  <c r="R144" i="3" s="1"/>
  <c r="T145" i="3"/>
  <c r="J145" i="3" s="1"/>
  <c r="R145" i="3" s="1"/>
  <c r="T146" i="3"/>
  <c r="J146" i="3" s="1"/>
  <c r="R146" i="3" s="1"/>
  <c r="T147" i="3"/>
  <c r="J147" i="3" s="1"/>
  <c r="R147" i="3" s="1"/>
  <c r="T148" i="3"/>
  <c r="J148" i="3" s="1"/>
  <c r="R148" i="3" s="1"/>
  <c r="T149" i="3"/>
  <c r="J149" i="3" s="1"/>
  <c r="R149" i="3" s="1"/>
  <c r="T150" i="3"/>
  <c r="J150" i="3" s="1"/>
  <c r="R150" i="3" s="1"/>
  <c r="T151" i="3"/>
  <c r="J151" i="3" s="1"/>
  <c r="R151" i="3" s="1"/>
  <c r="T152" i="3"/>
  <c r="J152" i="3" s="1"/>
  <c r="R152" i="3" s="1"/>
  <c r="T153" i="3"/>
  <c r="J153" i="3" s="1"/>
  <c r="R153" i="3" s="1"/>
  <c r="T154" i="3"/>
  <c r="J154" i="3" s="1"/>
  <c r="R154" i="3" s="1"/>
  <c r="T155" i="3"/>
  <c r="J155" i="3" s="1"/>
  <c r="R155" i="3" s="1"/>
  <c r="T156" i="3"/>
  <c r="J156" i="3" s="1"/>
  <c r="R156" i="3" s="1"/>
  <c r="T157" i="3"/>
  <c r="J157" i="3" s="1"/>
  <c r="R157" i="3" s="1"/>
  <c r="T158" i="3"/>
  <c r="J158" i="3" s="1"/>
  <c r="R158" i="3" s="1"/>
  <c r="T159" i="3"/>
  <c r="J159" i="3" s="1"/>
  <c r="R159" i="3" s="1"/>
  <c r="T160" i="3"/>
  <c r="J160" i="3" s="1"/>
  <c r="R160" i="3" s="1"/>
  <c r="T161" i="3"/>
  <c r="J161" i="3" s="1"/>
  <c r="R161" i="3" s="1"/>
  <c r="T162" i="3"/>
  <c r="J162" i="3" s="1"/>
  <c r="R162" i="3" s="1"/>
  <c r="T163" i="3"/>
  <c r="J163" i="3" s="1"/>
  <c r="R163" i="3" s="1"/>
  <c r="T164" i="3"/>
  <c r="J164" i="3" s="1"/>
  <c r="R164" i="3" s="1"/>
  <c r="T165" i="3"/>
  <c r="J165" i="3" s="1"/>
  <c r="R165" i="3" s="1"/>
  <c r="T166" i="3"/>
  <c r="J166" i="3" s="1"/>
  <c r="R166" i="3" s="1"/>
  <c r="T167" i="3"/>
  <c r="J167" i="3" s="1"/>
  <c r="R167" i="3" s="1"/>
  <c r="T168" i="3"/>
  <c r="J168" i="3" s="1"/>
  <c r="R168" i="3" s="1"/>
  <c r="T169" i="3"/>
  <c r="J169" i="3" s="1"/>
  <c r="R169" i="3" s="1"/>
  <c r="T170" i="3"/>
  <c r="J170" i="3" s="1"/>
  <c r="R170" i="3" s="1"/>
  <c r="T171" i="3"/>
  <c r="J171" i="3" s="1"/>
  <c r="R171" i="3" s="1"/>
  <c r="T172" i="3"/>
  <c r="J172" i="3" s="1"/>
  <c r="R172" i="3" s="1"/>
  <c r="T173" i="3"/>
  <c r="J173" i="3" s="1"/>
  <c r="R173" i="3" s="1"/>
  <c r="T174" i="3"/>
  <c r="J174" i="3" s="1"/>
  <c r="R174" i="3" s="1"/>
  <c r="T175" i="3"/>
  <c r="J175" i="3" s="1"/>
  <c r="R175" i="3" s="1"/>
  <c r="T176" i="3"/>
  <c r="J176" i="3" s="1"/>
  <c r="R176" i="3" s="1"/>
  <c r="T177" i="3"/>
  <c r="J177" i="3" s="1"/>
  <c r="R177" i="3" s="1"/>
  <c r="T178" i="3"/>
  <c r="J178" i="3" s="1"/>
  <c r="R178" i="3" s="1"/>
  <c r="T179" i="3"/>
  <c r="J179" i="3" s="1"/>
  <c r="R179" i="3" s="1"/>
  <c r="T180" i="3"/>
  <c r="J180" i="3" s="1"/>
  <c r="R180" i="3" s="1"/>
  <c r="T181" i="3"/>
  <c r="J181" i="3" s="1"/>
  <c r="R181" i="3" s="1"/>
  <c r="T182" i="3"/>
  <c r="J182" i="3" s="1"/>
  <c r="R182" i="3" s="1"/>
  <c r="T183" i="3"/>
  <c r="J183" i="3" s="1"/>
  <c r="R183" i="3" s="1"/>
  <c r="T184" i="3"/>
  <c r="J184" i="3" s="1"/>
  <c r="R184" i="3" s="1"/>
  <c r="T185" i="3"/>
  <c r="J185" i="3" s="1"/>
  <c r="R185" i="3" s="1"/>
  <c r="T186" i="3"/>
  <c r="J186" i="3" s="1"/>
  <c r="R186" i="3" s="1"/>
  <c r="T187" i="3"/>
  <c r="J187" i="3" s="1"/>
  <c r="R187" i="3" s="1"/>
  <c r="T188" i="3"/>
  <c r="J188" i="3" s="1"/>
  <c r="R188" i="3" s="1"/>
  <c r="T189" i="3"/>
  <c r="J189" i="3" s="1"/>
  <c r="R189" i="3" s="1"/>
  <c r="T190" i="3"/>
  <c r="J190" i="3" s="1"/>
  <c r="R190" i="3" s="1"/>
  <c r="T191" i="3"/>
  <c r="J191" i="3" s="1"/>
  <c r="R191" i="3" s="1"/>
  <c r="T192" i="3"/>
  <c r="J192" i="3" s="1"/>
  <c r="R192" i="3" s="1"/>
  <c r="T193" i="3"/>
  <c r="J193" i="3" s="1"/>
  <c r="R193" i="3" s="1"/>
  <c r="T194" i="3"/>
  <c r="J194" i="3" s="1"/>
  <c r="R194" i="3" s="1"/>
  <c r="T195" i="3"/>
  <c r="J195" i="3" s="1"/>
  <c r="R195" i="3" s="1"/>
  <c r="T196" i="3"/>
  <c r="J196" i="3" s="1"/>
  <c r="R196" i="3" s="1"/>
  <c r="T197" i="3"/>
  <c r="J197" i="3" s="1"/>
  <c r="R197" i="3" s="1"/>
  <c r="T198" i="3"/>
  <c r="J198" i="3" s="1"/>
  <c r="R198" i="3" s="1"/>
  <c r="T199" i="3"/>
  <c r="J199" i="3" s="1"/>
  <c r="R199" i="3" s="1"/>
  <c r="T200" i="3"/>
  <c r="J200" i="3" s="1"/>
  <c r="R200" i="3" s="1"/>
  <c r="T201" i="3"/>
  <c r="J201" i="3" s="1"/>
  <c r="R201" i="3" s="1"/>
  <c r="T202" i="3"/>
  <c r="J202" i="3" s="1"/>
  <c r="R202" i="3" s="1"/>
  <c r="T203" i="3"/>
  <c r="J203" i="3" s="1"/>
  <c r="R203" i="3" s="1"/>
  <c r="T204" i="3"/>
  <c r="J204" i="3" s="1"/>
  <c r="R204" i="3" s="1"/>
  <c r="T205" i="3"/>
  <c r="J205" i="3" s="1"/>
  <c r="R205" i="3" s="1"/>
  <c r="T206" i="3"/>
  <c r="J206" i="3" s="1"/>
  <c r="R206" i="3" s="1"/>
  <c r="T207" i="3"/>
  <c r="J207" i="3" s="1"/>
  <c r="T208" i="3"/>
  <c r="J208" i="3" s="1"/>
  <c r="T209" i="3"/>
  <c r="J209" i="3" s="1"/>
  <c r="R209" i="3" s="1"/>
  <c r="T210" i="3"/>
  <c r="J210" i="3" s="1"/>
  <c r="R210" i="3" s="1"/>
  <c r="T211" i="3"/>
  <c r="J211" i="3" s="1"/>
  <c r="R211" i="3" s="1"/>
  <c r="T212" i="3"/>
  <c r="J212" i="3" s="1"/>
  <c r="R212" i="3" s="1"/>
  <c r="T213" i="3"/>
  <c r="J213" i="3" s="1"/>
  <c r="R213" i="3" s="1"/>
  <c r="T214" i="3"/>
  <c r="J214" i="3" s="1"/>
  <c r="R214" i="3" s="1"/>
  <c r="T215" i="3"/>
  <c r="J215" i="3" s="1"/>
  <c r="R215" i="3" s="1"/>
  <c r="T216" i="3"/>
  <c r="J216" i="3" s="1"/>
  <c r="R216" i="3" s="1"/>
  <c r="T217" i="3"/>
  <c r="J217" i="3" s="1"/>
  <c r="R217" i="3" s="1"/>
  <c r="T218" i="3"/>
  <c r="J218" i="3" s="1"/>
  <c r="R218" i="3" s="1"/>
  <c r="T219" i="3"/>
  <c r="J219" i="3" s="1"/>
  <c r="R219" i="3" s="1"/>
  <c r="T220" i="3"/>
  <c r="J220" i="3" s="1"/>
  <c r="R220" i="3" s="1"/>
  <c r="T221" i="3"/>
  <c r="J221" i="3" s="1"/>
  <c r="R221" i="3" s="1"/>
  <c r="T222" i="3"/>
  <c r="J222" i="3" s="1"/>
  <c r="R222" i="3" s="1"/>
  <c r="T223" i="3"/>
  <c r="J223" i="3" s="1"/>
  <c r="R223" i="3" s="1"/>
  <c r="T224" i="3"/>
  <c r="J224" i="3" s="1"/>
  <c r="R224" i="3" s="1"/>
  <c r="T225" i="3"/>
  <c r="J225" i="3" s="1"/>
  <c r="R225" i="3" s="1"/>
  <c r="T226" i="3"/>
  <c r="J226" i="3" s="1"/>
  <c r="R226" i="3" s="1"/>
  <c r="T227" i="3"/>
  <c r="J227" i="3" s="1"/>
  <c r="R227" i="3" s="1"/>
  <c r="T228" i="3"/>
  <c r="J228" i="3" s="1"/>
  <c r="R228" i="3" s="1"/>
  <c r="T229" i="3"/>
  <c r="J229" i="3" s="1"/>
  <c r="R229" i="3" s="1"/>
  <c r="T230" i="3"/>
  <c r="J230" i="3" s="1"/>
  <c r="R230" i="3" s="1"/>
  <c r="T231" i="3"/>
  <c r="J231" i="3" s="1"/>
  <c r="R231" i="3" s="1"/>
  <c r="T232" i="3"/>
  <c r="J232" i="3" s="1"/>
  <c r="R232" i="3" s="1"/>
  <c r="T233" i="3"/>
  <c r="J233" i="3" s="1"/>
  <c r="R233" i="3" s="1"/>
  <c r="T234" i="3"/>
  <c r="J234" i="3" s="1"/>
  <c r="R234" i="3" s="1"/>
  <c r="T235" i="3"/>
  <c r="J235" i="3" s="1"/>
  <c r="R235" i="3" s="1"/>
  <c r="T236" i="3"/>
  <c r="J236" i="3" s="1"/>
  <c r="R236" i="3" s="1"/>
  <c r="T237" i="3"/>
  <c r="J237" i="3" s="1"/>
  <c r="R237" i="3" s="1"/>
  <c r="T238" i="3"/>
  <c r="J238" i="3" s="1"/>
  <c r="R238" i="3" s="1"/>
  <c r="T239" i="3"/>
  <c r="J239" i="3" s="1"/>
  <c r="R239" i="3" s="1"/>
  <c r="T240" i="3"/>
  <c r="J240" i="3" s="1"/>
  <c r="R240" i="3" s="1"/>
  <c r="T241" i="3"/>
  <c r="J241" i="3" s="1"/>
  <c r="R241" i="3" s="1"/>
  <c r="T242" i="3"/>
  <c r="J242" i="3" s="1"/>
  <c r="R242" i="3" s="1"/>
  <c r="T243" i="3"/>
  <c r="J243" i="3" s="1"/>
  <c r="R243" i="3" s="1"/>
  <c r="T244" i="3"/>
  <c r="J244" i="3" s="1"/>
  <c r="R244" i="3" s="1"/>
  <c r="T245" i="3"/>
  <c r="J245" i="3" s="1"/>
  <c r="R245" i="3" s="1"/>
  <c r="T246" i="3"/>
  <c r="J246" i="3" s="1"/>
  <c r="R246" i="3" s="1"/>
  <c r="T247" i="3"/>
  <c r="J247" i="3" s="1"/>
  <c r="R247" i="3" s="1"/>
  <c r="T248" i="3"/>
  <c r="J248" i="3" s="1"/>
  <c r="R248" i="3" s="1"/>
  <c r="T249" i="3"/>
  <c r="J249" i="3" s="1"/>
  <c r="R249" i="3" s="1"/>
  <c r="T250" i="3"/>
  <c r="J250" i="3" s="1"/>
  <c r="R250" i="3" s="1"/>
  <c r="T251" i="3"/>
  <c r="J251" i="3" s="1"/>
  <c r="R251" i="3" s="1"/>
  <c r="T252" i="3"/>
  <c r="J252" i="3" s="1"/>
  <c r="R252" i="3" s="1"/>
  <c r="T253" i="3"/>
  <c r="J253" i="3" s="1"/>
  <c r="R253" i="3" s="1"/>
  <c r="T254" i="3"/>
  <c r="J254" i="3" s="1"/>
  <c r="R254" i="3" s="1"/>
  <c r="T255" i="3"/>
  <c r="J255" i="3" s="1"/>
  <c r="R255" i="3" s="1"/>
  <c r="T256" i="3"/>
  <c r="J256" i="3" s="1"/>
  <c r="R256" i="3" s="1"/>
  <c r="T257" i="3"/>
  <c r="J257" i="3" s="1"/>
  <c r="R257" i="3" s="1"/>
  <c r="T258" i="3"/>
  <c r="J258" i="3" s="1"/>
  <c r="R258" i="3" s="1"/>
  <c r="T259" i="3"/>
  <c r="J259" i="3" s="1"/>
  <c r="R259" i="3" s="1"/>
  <c r="T260" i="3"/>
  <c r="J260" i="3" s="1"/>
  <c r="R260" i="3" s="1"/>
  <c r="T261" i="3"/>
  <c r="J261" i="3" s="1"/>
  <c r="R261" i="3" s="1"/>
  <c r="T262" i="3"/>
  <c r="J262" i="3" s="1"/>
  <c r="R262" i="3" s="1"/>
  <c r="T263" i="3"/>
  <c r="J263" i="3" s="1"/>
  <c r="R263" i="3" s="1"/>
  <c r="T264" i="3"/>
  <c r="J264" i="3" s="1"/>
  <c r="R264" i="3" s="1"/>
  <c r="T265" i="3"/>
  <c r="J265" i="3" s="1"/>
  <c r="R265" i="3" s="1"/>
  <c r="T266" i="3"/>
  <c r="J266" i="3" s="1"/>
  <c r="R266" i="3" s="1"/>
  <c r="T267" i="3"/>
  <c r="J267" i="3" s="1"/>
  <c r="R267" i="3" s="1"/>
  <c r="T268" i="3"/>
  <c r="J268" i="3" s="1"/>
  <c r="R268" i="3" s="1"/>
  <c r="T269" i="3"/>
  <c r="J269" i="3" s="1"/>
  <c r="R269" i="3" s="1"/>
  <c r="T270" i="3"/>
  <c r="J270" i="3" s="1"/>
  <c r="R270" i="3" s="1"/>
  <c r="T271" i="3"/>
  <c r="J271" i="3" s="1"/>
  <c r="R271" i="3" s="1"/>
  <c r="T272" i="3"/>
  <c r="J272" i="3" s="1"/>
  <c r="R272" i="3" s="1"/>
  <c r="T273" i="3"/>
  <c r="J273" i="3" s="1"/>
  <c r="R273" i="3" s="1"/>
  <c r="T274" i="3"/>
  <c r="J274" i="3" s="1"/>
  <c r="R274" i="3" s="1"/>
  <c r="T275" i="3"/>
  <c r="J275" i="3" s="1"/>
  <c r="R275" i="3" s="1"/>
  <c r="T276" i="3"/>
  <c r="J276" i="3" s="1"/>
  <c r="R276" i="3" s="1"/>
  <c r="T277" i="3"/>
  <c r="J277" i="3" s="1"/>
  <c r="R277" i="3" s="1"/>
  <c r="T278" i="3"/>
  <c r="J278" i="3" s="1"/>
  <c r="R278" i="3" s="1"/>
  <c r="T279" i="3"/>
  <c r="J279" i="3" s="1"/>
  <c r="R279" i="3" s="1"/>
  <c r="T280" i="3"/>
  <c r="J280" i="3" s="1"/>
  <c r="R280" i="3" s="1"/>
  <c r="T281" i="3"/>
  <c r="J281" i="3" s="1"/>
  <c r="R281" i="3" s="1"/>
  <c r="T282" i="3"/>
  <c r="J282" i="3" s="1"/>
  <c r="R282" i="3" s="1"/>
  <c r="T283" i="3"/>
  <c r="J283" i="3" s="1"/>
  <c r="R283" i="3" s="1"/>
  <c r="T284" i="3"/>
  <c r="J284" i="3" s="1"/>
  <c r="R284" i="3" s="1"/>
  <c r="T285" i="3"/>
  <c r="J285" i="3" s="1"/>
  <c r="R285" i="3" s="1"/>
  <c r="T286" i="3"/>
  <c r="J286" i="3" s="1"/>
  <c r="R286" i="3" s="1"/>
  <c r="T287" i="3"/>
  <c r="J287" i="3" s="1"/>
  <c r="R287" i="3" s="1"/>
  <c r="T288" i="3"/>
  <c r="J288" i="3" s="1"/>
  <c r="R288" i="3" s="1"/>
  <c r="T289" i="3"/>
  <c r="J289" i="3" s="1"/>
  <c r="R289" i="3" s="1"/>
  <c r="T290" i="3"/>
  <c r="J290" i="3" s="1"/>
  <c r="R290" i="3" s="1"/>
  <c r="T5" i="3"/>
  <c r="B34" i="6"/>
  <c r="B37" i="6" s="1"/>
  <c r="H12" i="6"/>
  <c r="E12" i="6"/>
  <c r="H21" i="6"/>
  <c r="H24" i="6" s="1"/>
  <c r="E21" i="6"/>
  <c r="E24" i="6" s="1"/>
  <c r="B21" i="6"/>
  <c r="B24" i="6" s="1"/>
  <c r="B12" i="6"/>
  <c r="H8" i="6"/>
  <c r="H11" i="6" s="1"/>
  <c r="E8" i="6"/>
  <c r="E11" i="6" s="1"/>
  <c r="B8" i="6"/>
  <c r="B11" i="6" s="1"/>
  <c r="BB15" i="3" l="1"/>
  <c r="BG15" i="3" s="1"/>
  <c r="AV280" i="3"/>
  <c r="J5" i="3"/>
  <c r="T4" i="3"/>
  <c r="BB16" i="3"/>
  <c r="BG16" i="3" s="1"/>
  <c r="Q207" i="3"/>
  <c r="R207" i="3"/>
  <c r="Q208" i="3"/>
  <c r="R208" i="3"/>
  <c r="BO14" i="3"/>
  <c r="BS14" i="3"/>
  <c r="BW14" i="3"/>
  <c r="W14" i="3" s="1"/>
  <c r="CI14" i="3"/>
  <c r="CM14" i="3" s="1"/>
  <c r="CJ14" i="3"/>
  <c r="BN14" i="3"/>
  <c r="H13" i="6"/>
  <c r="Q290" i="3"/>
  <c r="Q288" i="3"/>
  <c r="Q286" i="3"/>
  <c r="Q284" i="3"/>
  <c r="Q282" i="3"/>
  <c r="Q280" i="3"/>
  <c r="Q278" i="3"/>
  <c r="Q276" i="3"/>
  <c r="Q274" i="3"/>
  <c r="Q272" i="3"/>
  <c r="Q270" i="3"/>
  <c r="Q268" i="3"/>
  <c r="Q266" i="3"/>
  <c r="Q264" i="3"/>
  <c r="Q262" i="3"/>
  <c r="Q260" i="3"/>
  <c r="Q258" i="3"/>
  <c r="Q256" i="3"/>
  <c r="Q254" i="3"/>
  <c r="Q252" i="3"/>
  <c r="Q250" i="3"/>
  <c r="Q248" i="3"/>
  <c r="Q246" i="3"/>
  <c r="Q244" i="3"/>
  <c r="Q242" i="3"/>
  <c r="Q240" i="3"/>
  <c r="Q238" i="3"/>
  <c r="Q235" i="3"/>
  <c r="Q233" i="3"/>
  <c r="Q231" i="3"/>
  <c r="Q229" i="3"/>
  <c r="Q228" i="3"/>
  <c r="Q226" i="3"/>
  <c r="Q224" i="3"/>
  <c r="Q222" i="3"/>
  <c r="Q220" i="3"/>
  <c r="Q218" i="3"/>
  <c r="Q216" i="3"/>
  <c r="Q215" i="3"/>
  <c r="Q213" i="3"/>
  <c r="Q211" i="3"/>
  <c r="Q209" i="3"/>
  <c r="Q205" i="3"/>
  <c r="Q203" i="3"/>
  <c r="Q201" i="3"/>
  <c r="Q199" i="3"/>
  <c r="Q197" i="3"/>
  <c r="Q195" i="3"/>
  <c r="Q193" i="3"/>
  <c r="Q191" i="3"/>
  <c r="Q189" i="3"/>
  <c r="Q187" i="3"/>
  <c r="Q185" i="3"/>
  <c r="Q183" i="3"/>
  <c r="Q181" i="3"/>
  <c r="Q179" i="3"/>
  <c r="Q177" i="3"/>
  <c r="Q175" i="3"/>
  <c r="Q173" i="3"/>
  <c r="Q171" i="3"/>
  <c r="Q169" i="3"/>
  <c r="Q167" i="3"/>
  <c r="Q165" i="3"/>
  <c r="Q163" i="3"/>
  <c r="Q161" i="3"/>
  <c r="Q159" i="3"/>
  <c r="Q157" i="3"/>
  <c r="Q155" i="3"/>
  <c r="Q153" i="3"/>
  <c r="Q151" i="3"/>
  <c r="Q149" i="3"/>
  <c r="Q147" i="3"/>
  <c r="Q145" i="3"/>
  <c r="Q143" i="3"/>
  <c r="Q141" i="3"/>
  <c r="Q139" i="3"/>
  <c r="Q137" i="3"/>
  <c r="Q135" i="3"/>
  <c r="Q133" i="3"/>
  <c r="Q131" i="3"/>
  <c r="Q129" i="3"/>
  <c r="Q127" i="3"/>
  <c r="Q125" i="3"/>
  <c r="Q123" i="3"/>
  <c r="Q121" i="3"/>
  <c r="Q119" i="3"/>
  <c r="Q117" i="3"/>
  <c r="Q115" i="3"/>
  <c r="Q113" i="3"/>
  <c r="Q111" i="3"/>
  <c r="Q109" i="3"/>
  <c r="Q107" i="3"/>
  <c r="Q105" i="3"/>
  <c r="Q103" i="3"/>
  <c r="Q101" i="3"/>
  <c r="Q99" i="3"/>
  <c r="Q97" i="3"/>
  <c r="Q95" i="3"/>
  <c r="Q93" i="3"/>
  <c r="Q91" i="3"/>
  <c r="Q89" i="3"/>
  <c r="Q87" i="3"/>
  <c r="Q85" i="3"/>
  <c r="Q83" i="3"/>
  <c r="Q81" i="3"/>
  <c r="Q79" i="3"/>
  <c r="Q77" i="3"/>
  <c r="Q75" i="3"/>
  <c r="Q73" i="3"/>
  <c r="Q71" i="3"/>
  <c r="Q69" i="3"/>
  <c r="Q67" i="3"/>
  <c r="Q65" i="3"/>
  <c r="Q63" i="3"/>
  <c r="Q61" i="3"/>
  <c r="Q59" i="3"/>
  <c r="Q57" i="3"/>
  <c r="Q55" i="3"/>
  <c r="Q53" i="3"/>
  <c r="Q51" i="3"/>
  <c r="Q49" i="3"/>
  <c r="Q47" i="3"/>
  <c r="Q45" i="3"/>
  <c r="Q43" i="3"/>
  <c r="Q42" i="3"/>
  <c r="Q40" i="3"/>
  <c r="Q38" i="3"/>
  <c r="Q36" i="3"/>
  <c r="Q34" i="3"/>
  <c r="Q32" i="3"/>
  <c r="Q30" i="3"/>
  <c r="Q26" i="3"/>
  <c r="Q24" i="3"/>
  <c r="Q22" i="3"/>
  <c r="Q20" i="3"/>
  <c r="Q13" i="3"/>
  <c r="Q11" i="3"/>
  <c r="Q9" i="3"/>
  <c r="Q7" i="3"/>
  <c r="Q289" i="3"/>
  <c r="Q287" i="3"/>
  <c r="Q285" i="3"/>
  <c r="Q283" i="3"/>
  <c r="Q281" i="3"/>
  <c r="Q279" i="3"/>
  <c r="Q277" i="3"/>
  <c r="Q275" i="3"/>
  <c r="Q273" i="3"/>
  <c r="Q271" i="3"/>
  <c r="Q269" i="3"/>
  <c r="Q267" i="3"/>
  <c r="Q265" i="3"/>
  <c r="Q263" i="3"/>
  <c r="Q261" i="3"/>
  <c r="Q259" i="3"/>
  <c r="Q257" i="3"/>
  <c r="Q255" i="3"/>
  <c r="Q253" i="3"/>
  <c r="Q251" i="3"/>
  <c r="Q249" i="3"/>
  <c r="Q247" i="3"/>
  <c r="Q245" i="3"/>
  <c r="Q243" i="3"/>
  <c r="Q241" i="3"/>
  <c r="Q239" i="3"/>
  <c r="Q237" i="3"/>
  <c r="Q236" i="3"/>
  <c r="Q234" i="3"/>
  <c r="Q232" i="3"/>
  <c r="Q230" i="3"/>
  <c r="Q227" i="3"/>
  <c r="Q225" i="3"/>
  <c r="Q223" i="3"/>
  <c r="Q221" i="3"/>
  <c r="Q219" i="3"/>
  <c r="Q217" i="3"/>
  <c r="Q214" i="3"/>
  <c r="Q212" i="3"/>
  <c r="Q210" i="3"/>
  <c r="Q206" i="3"/>
  <c r="Q204" i="3"/>
  <c r="Q202" i="3"/>
  <c r="Q200" i="3"/>
  <c r="Q198" i="3"/>
  <c r="Q196" i="3"/>
  <c r="Q194" i="3"/>
  <c r="Q192" i="3"/>
  <c r="Q190" i="3"/>
  <c r="Q188" i="3"/>
  <c r="Q186" i="3"/>
  <c r="Q184" i="3"/>
  <c r="Q182" i="3"/>
  <c r="Q180" i="3"/>
  <c r="Q178" i="3"/>
  <c r="Q176" i="3"/>
  <c r="Q174" i="3"/>
  <c r="Q172" i="3"/>
  <c r="Q170" i="3"/>
  <c r="Q168" i="3"/>
  <c r="Q166" i="3"/>
  <c r="Q164" i="3"/>
  <c r="Q162" i="3"/>
  <c r="Q160" i="3"/>
  <c r="Q158" i="3"/>
  <c r="Q156" i="3"/>
  <c r="Q154" i="3"/>
  <c r="Q152" i="3"/>
  <c r="Q150" i="3"/>
  <c r="Q148" i="3"/>
  <c r="Q146" i="3"/>
  <c r="Q144" i="3"/>
  <c r="Q142" i="3"/>
  <c r="Q140" i="3"/>
  <c r="Q138" i="3"/>
  <c r="Q136" i="3"/>
  <c r="Q134" i="3"/>
  <c r="Q132" i="3"/>
  <c r="Q130" i="3"/>
  <c r="Q128" i="3"/>
  <c r="Q126" i="3"/>
  <c r="Q124" i="3"/>
  <c r="Q122" i="3"/>
  <c r="Q120" i="3"/>
  <c r="Q118" i="3"/>
  <c r="Q116" i="3"/>
  <c r="Q114" i="3"/>
  <c r="Q112" i="3"/>
  <c r="Q110" i="3"/>
  <c r="Q108" i="3"/>
  <c r="Q106" i="3"/>
  <c r="Q104" i="3"/>
  <c r="Q102" i="3"/>
  <c r="Q100" i="3"/>
  <c r="Q98" i="3"/>
  <c r="Q96" i="3"/>
  <c r="Q94" i="3"/>
  <c r="Q92" i="3"/>
  <c r="Q90" i="3"/>
  <c r="Q88" i="3"/>
  <c r="Q86" i="3"/>
  <c r="Q84" i="3"/>
  <c r="Q82" i="3"/>
  <c r="Q80" i="3"/>
  <c r="Q78" i="3"/>
  <c r="Q76" i="3"/>
  <c r="Q74" i="3"/>
  <c r="Q72" i="3"/>
  <c r="Q70" i="3"/>
  <c r="Q68" i="3"/>
  <c r="Q66" i="3"/>
  <c r="Q64" i="3"/>
  <c r="J62" i="3"/>
  <c r="R62" i="3" s="1"/>
  <c r="Q60" i="3"/>
  <c r="Q58" i="3"/>
  <c r="Q56" i="3"/>
  <c r="Q54" i="3"/>
  <c r="Q52" i="3"/>
  <c r="Q50" i="3"/>
  <c r="Q48" i="3"/>
  <c r="Q46" i="3"/>
  <c r="Q44" i="3"/>
  <c r="Q41" i="3"/>
  <c r="Q39" i="3"/>
  <c r="Q37" i="3"/>
  <c r="Q35" i="3"/>
  <c r="Q33" i="3"/>
  <c r="Q31" i="3"/>
  <c r="Q29" i="3"/>
  <c r="Q27" i="3"/>
  <c r="Q25" i="3"/>
  <c r="Q23" i="3"/>
  <c r="Q21" i="3"/>
  <c r="Q19" i="3"/>
  <c r="Q12" i="3"/>
  <c r="Q10" i="3"/>
  <c r="Q8" i="3"/>
  <c r="Q6" i="3"/>
  <c r="L290" i="3"/>
  <c r="L161" i="3"/>
  <c r="N161" i="3" s="1"/>
  <c r="L51" i="3"/>
  <c r="L36" i="3"/>
  <c r="L34" i="3"/>
  <c r="L32" i="3"/>
  <c r="L29" i="3"/>
  <c r="L27" i="3"/>
  <c r="L265" i="3"/>
  <c r="L263" i="3"/>
  <c r="N263" i="3" s="1"/>
  <c r="N259" i="3"/>
  <c r="L255" i="3"/>
  <c r="N255" i="3" s="1"/>
  <c r="N141" i="3"/>
  <c r="L124" i="3"/>
  <c r="L65" i="3"/>
  <c r="N65" i="3" s="1"/>
  <c r="B13" i="6"/>
  <c r="L84" i="3"/>
  <c r="L80" i="3"/>
  <c r="L35" i="3"/>
  <c r="L31" i="3"/>
  <c r="N31" i="3" s="1"/>
  <c r="L28" i="3"/>
  <c r="L289" i="3"/>
  <c r="L287" i="3"/>
  <c r="L285" i="3"/>
  <c r="L283" i="3"/>
  <c r="L281" i="3"/>
  <c r="L279" i="3"/>
  <c r="L277" i="3"/>
  <c r="L273" i="3"/>
  <c r="L267" i="3"/>
  <c r="L26" i="3"/>
  <c r="AN5" i="3"/>
  <c r="AN289" i="3"/>
  <c r="AN287" i="3"/>
  <c r="AN285" i="3"/>
  <c r="AN283" i="3"/>
  <c r="AN281" i="3"/>
  <c r="AN279" i="3"/>
  <c r="AN277" i="3"/>
  <c r="AN273" i="3"/>
  <c r="AN269" i="3"/>
  <c r="AN265" i="3"/>
  <c r="AN263" i="3"/>
  <c r="AN261" i="3"/>
  <c r="AN259" i="3"/>
  <c r="AN257" i="3"/>
  <c r="AN253" i="3"/>
  <c r="AN251" i="3"/>
  <c r="AN249" i="3"/>
  <c r="AN247" i="3"/>
  <c r="AN245" i="3"/>
  <c r="AN241" i="3"/>
  <c r="AN239" i="3"/>
  <c r="AN237" i="3"/>
  <c r="AN236" i="3"/>
  <c r="AN234" i="3"/>
  <c r="AN232" i="3"/>
  <c r="AN230" i="3"/>
  <c r="AN228" i="3"/>
  <c r="AN226" i="3"/>
  <c r="AN222" i="3"/>
  <c r="AN221" i="3"/>
  <c r="AN219" i="3"/>
  <c r="AN217" i="3"/>
  <c r="AN215" i="3"/>
  <c r="AN213" i="3"/>
  <c r="AN211" i="3"/>
  <c r="AN209" i="3"/>
  <c r="AN207" i="3"/>
  <c r="AN205" i="3"/>
  <c r="AN203" i="3"/>
  <c r="AN201" i="3"/>
  <c r="AN198" i="3"/>
  <c r="AN196" i="3"/>
  <c r="AN192" i="3"/>
  <c r="AN190" i="3"/>
  <c r="AN186" i="3"/>
  <c r="AN184" i="3"/>
  <c r="AN182" i="3"/>
  <c r="AN180" i="3"/>
  <c r="AN176" i="3"/>
  <c r="AN172" i="3"/>
  <c r="AN170" i="3"/>
  <c r="AN168" i="3"/>
  <c r="AN166" i="3"/>
  <c r="AN164" i="3"/>
  <c r="AN162" i="3"/>
  <c r="AN160" i="3"/>
  <c r="AN158" i="3"/>
  <c r="AN156" i="3"/>
  <c r="AN154" i="3"/>
  <c r="AN152" i="3"/>
  <c r="AN149" i="3"/>
  <c r="AN147" i="3"/>
  <c r="AN145" i="3"/>
  <c r="AN143" i="3"/>
  <c r="AN141" i="3"/>
  <c r="AN139" i="3"/>
  <c r="AN137" i="3"/>
  <c r="AN135" i="3"/>
  <c r="AN133" i="3"/>
  <c r="AN131" i="3"/>
  <c r="AN129" i="3"/>
  <c r="AN127" i="3"/>
  <c r="AN124" i="3"/>
  <c r="AN122" i="3"/>
  <c r="AN120" i="3"/>
  <c r="AN118" i="3"/>
  <c r="AN116" i="3"/>
  <c r="AN114" i="3"/>
  <c r="AN112" i="3"/>
  <c r="AN110" i="3"/>
  <c r="AN108" i="3"/>
  <c r="AN106" i="3"/>
  <c r="AN102" i="3"/>
  <c r="AN100" i="3"/>
  <c r="AN98" i="3"/>
  <c r="AN96" i="3"/>
  <c r="AN94" i="3"/>
  <c r="AN92" i="3"/>
  <c r="AN90" i="3"/>
  <c r="AN88" i="3"/>
  <c r="AN85" i="3"/>
  <c r="AN83" i="3"/>
  <c r="AN81" i="3"/>
  <c r="AN79" i="3"/>
  <c r="AN77" i="3"/>
  <c r="AN75" i="3"/>
  <c r="AN73" i="3"/>
  <c r="AN71" i="3"/>
  <c r="AN69" i="3"/>
  <c r="AN67" i="3"/>
  <c r="AN65" i="3"/>
  <c r="AN63" i="3"/>
  <c r="AN61" i="3"/>
  <c r="AN59" i="3"/>
  <c r="AN57" i="3"/>
  <c r="AN55" i="3"/>
  <c r="AN53" i="3"/>
  <c r="AN51" i="3"/>
  <c r="AN49" i="3"/>
  <c r="AN45" i="3"/>
  <c r="AN43" i="3"/>
  <c r="AN42" i="3"/>
  <c r="AN40" i="3"/>
  <c r="AN38" i="3"/>
  <c r="AN36" i="3"/>
  <c r="AN34" i="3"/>
  <c r="AN32" i="3"/>
  <c r="AN29" i="3"/>
  <c r="AN27" i="3"/>
  <c r="AN25" i="3"/>
  <c r="AN23" i="3"/>
  <c r="AN21" i="3"/>
  <c r="AN19" i="3"/>
  <c r="AN12" i="3"/>
  <c r="AN10" i="3"/>
  <c r="AN8" i="3"/>
  <c r="AN6" i="3"/>
  <c r="AN290" i="3"/>
  <c r="AN288" i="3"/>
  <c r="AN286" i="3"/>
  <c r="AN282" i="3"/>
  <c r="AN280" i="3"/>
  <c r="AN278" i="3"/>
  <c r="AN274" i="3"/>
  <c r="AN272" i="3"/>
  <c r="AN270" i="3"/>
  <c r="AN268" i="3"/>
  <c r="AN267" i="3"/>
  <c r="AN266" i="3"/>
  <c r="AN264" i="3"/>
  <c r="AN262" i="3"/>
  <c r="AN260" i="3"/>
  <c r="AN258" i="3"/>
  <c r="AN256" i="3"/>
  <c r="AN254" i="3"/>
  <c r="AN252" i="3"/>
  <c r="AN248" i="3"/>
  <c r="AN246" i="3"/>
  <c r="AN244" i="3"/>
  <c r="AN240" i="3"/>
  <c r="AN235" i="3"/>
  <c r="AN233" i="3"/>
  <c r="AN231" i="3"/>
  <c r="AN229" i="3"/>
  <c r="AN227" i="3"/>
  <c r="AN225" i="3"/>
  <c r="AN223" i="3"/>
  <c r="AN220" i="3"/>
  <c r="AN218" i="3"/>
  <c r="AN216" i="3"/>
  <c r="AN214" i="3"/>
  <c r="AN212" i="3"/>
  <c r="AN210" i="3"/>
  <c r="AN208" i="3"/>
  <c r="AN206" i="3"/>
  <c r="AN204" i="3"/>
  <c r="AN202" i="3"/>
  <c r="AN200" i="3"/>
  <c r="AN199" i="3"/>
  <c r="AN197" i="3"/>
  <c r="AN195" i="3"/>
  <c r="AN193" i="3"/>
  <c r="AN191" i="3"/>
  <c r="AN189" i="3"/>
  <c r="AN187" i="3"/>
  <c r="AN185" i="3"/>
  <c r="AN183" i="3"/>
  <c r="AN181" i="3"/>
  <c r="AN179" i="3"/>
  <c r="AN177" i="3"/>
  <c r="AN175" i="3"/>
  <c r="AN173" i="3"/>
  <c r="AN171" i="3"/>
  <c r="AN169" i="3"/>
  <c r="AN167" i="3"/>
  <c r="AN165" i="3"/>
  <c r="AN163" i="3"/>
  <c r="AN161" i="3"/>
  <c r="AN159" i="3"/>
  <c r="AN155" i="3"/>
  <c r="AN153" i="3"/>
  <c r="AN151" i="3"/>
  <c r="AN150" i="3"/>
  <c r="AN148" i="3"/>
  <c r="AN144" i="3"/>
  <c r="AN142" i="3"/>
  <c r="AN140" i="3"/>
  <c r="AN138" i="3"/>
  <c r="AN136" i="3"/>
  <c r="AN134" i="3"/>
  <c r="AN132" i="3"/>
  <c r="AN130" i="3"/>
  <c r="AN128" i="3"/>
  <c r="AN126" i="3"/>
  <c r="AN125" i="3"/>
  <c r="AN123" i="3"/>
  <c r="AN121" i="3"/>
  <c r="AN119" i="3"/>
  <c r="AN117" i="3"/>
  <c r="AN115" i="3"/>
  <c r="AN113" i="3"/>
  <c r="AN111" i="3"/>
  <c r="AN109" i="3"/>
  <c r="AN107" i="3"/>
  <c r="AN105" i="3"/>
  <c r="AN103" i="3"/>
  <c r="AN101" i="3"/>
  <c r="AN99" i="3"/>
  <c r="AN97" i="3"/>
  <c r="AN95" i="3"/>
  <c r="AN93" i="3"/>
  <c r="AN91" i="3"/>
  <c r="AN89" i="3"/>
  <c r="AN86" i="3"/>
  <c r="AN84" i="3"/>
  <c r="AN82" i="3"/>
  <c r="AN80" i="3"/>
  <c r="AN78" i="3"/>
  <c r="AN76" i="3"/>
  <c r="AN74" i="3"/>
  <c r="AN72" i="3"/>
  <c r="AN70" i="3"/>
  <c r="AN68" i="3"/>
  <c r="AN66" i="3"/>
  <c r="AN64" i="3"/>
  <c r="AN62" i="3"/>
  <c r="AN60" i="3"/>
  <c r="AN58" i="3"/>
  <c r="AN56" i="3"/>
  <c r="AN54" i="3"/>
  <c r="AN52" i="3"/>
  <c r="AN50" i="3"/>
  <c r="AN48" i="3"/>
  <c r="AN46" i="3"/>
  <c r="AN44" i="3"/>
  <c r="AN41" i="3"/>
  <c r="AN39" i="3"/>
  <c r="AN37" i="3"/>
  <c r="AN33" i="3"/>
  <c r="AN31" i="3"/>
  <c r="AN30" i="3"/>
  <c r="AN28" i="3"/>
  <c r="AN26" i="3"/>
  <c r="AN22" i="3"/>
  <c r="AN20" i="3"/>
  <c r="AN13" i="3"/>
  <c r="AN11" i="3"/>
  <c r="AN9" i="3"/>
  <c r="AN7" i="3"/>
  <c r="L12" i="3"/>
  <c r="L251" i="3"/>
  <c r="L247" i="3"/>
  <c r="L245" i="3"/>
  <c r="L243" i="3"/>
  <c r="L241" i="3"/>
  <c r="L239" i="3"/>
  <c r="L237" i="3"/>
  <c r="L236" i="3"/>
  <c r="L230" i="3"/>
  <c r="L228" i="3"/>
  <c r="L226" i="3"/>
  <c r="L224" i="3"/>
  <c r="L123" i="3"/>
  <c r="L121" i="3"/>
  <c r="L119" i="3"/>
  <c r="L117" i="3"/>
  <c r="L115" i="3"/>
  <c r="L113" i="3"/>
  <c r="L111" i="3"/>
  <c r="L109" i="3"/>
  <c r="L107" i="3"/>
  <c r="L105" i="3"/>
  <c r="L103" i="3"/>
  <c r="L101" i="3"/>
  <c r="L99" i="3"/>
  <c r="L97" i="3"/>
  <c r="L95" i="3"/>
  <c r="L93" i="3"/>
  <c r="L91" i="3"/>
  <c r="L89" i="3"/>
  <c r="L86" i="3"/>
  <c r="L233" i="3"/>
  <c r="L140" i="3"/>
  <c r="L138" i="3"/>
  <c r="L136" i="3"/>
  <c r="L134" i="3"/>
  <c r="L132" i="3"/>
  <c r="L130" i="3"/>
  <c r="L128" i="3"/>
  <c r="L126" i="3"/>
  <c r="L125" i="3"/>
  <c r="L7" i="3"/>
  <c r="L244" i="3"/>
  <c r="L240" i="3"/>
  <c r="L238" i="3"/>
  <c r="L235" i="3"/>
  <c r="L231" i="3"/>
  <c r="L229" i="3"/>
  <c r="L227" i="3"/>
  <c r="L225" i="3"/>
  <c r="L223" i="3"/>
  <c r="L220" i="3"/>
  <c r="L218" i="3"/>
  <c r="L217" i="3"/>
  <c r="L215" i="3"/>
  <c r="L213" i="3"/>
  <c r="L211" i="3"/>
  <c r="L209" i="3"/>
  <c r="L207" i="3"/>
  <c r="L205" i="3"/>
  <c r="L203" i="3"/>
  <c r="L201" i="3"/>
  <c r="L198" i="3"/>
  <c r="L196" i="3"/>
  <c r="L194" i="3"/>
  <c r="L192" i="3"/>
  <c r="L190" i="3"/>
  <c r="L188" i="3"/>
  <c r="L186" i="3"/>
  <c r="L184" i="3"/>
  <c r="L182" i="3"/>
  <c r="L180" i="3"/>
  <c r="L178" i="3"/>
  <c r="L176" i="3"/>
  <c r="L174" i="3"/>
  <c r="L172" i="3"/>
  <c r="L170" i="3"/>
  <c r="S170" i="3" s="1"/>
  <c r="L168" i="3"/>
  <c r="L166" i="3"/>
  <c r="L164" i="3"/>
  <c r="L139" i="3"/>
  <c r="L137" i="3"/>
  <c r="L135" i="3"/>
  <c r="L133" i="3"/>
  <c r="L131" i="3"/>
  <c r="N131" i="3" s="1"/>
  <c r="L129" i="3"/>
  <c r="L127" i="3"/>
  <c r="L122" i="3"/>
  <c r="L120" i="3"/>
  <c r="L118" i="3"/>
  <c r="N118" i="3" s="1"/>
  <c r="L116" i="3"/>
  <c r="L114" i="3"/>
  <c r="L112" i="3"/>
  <c r="N112" i="3" s="1"/>
  <c r="L110" i="3"/>
  <c r="N110" i="3" s="1"/>
  <c r="L108" i="3"/>
  <c r="N108" i="3" s="1"/>
  <c r="L106" i="3"/>
  <c r="N106" i="3" s="1"/>
  <c r="L104" i="3"/>
  <c r="N104" i="3" s="1"/>
  <c r="L102" i="3"/>
  <c r="L100" i="3"/>
  <c r="L96" i="3"/>
  <c r="L94" i="3"/>
  <c r="N94" i="3" s="1"/>
  <c r="L92" i="3"/>
  <c r="N92" i="3" s="1"/>
  <c r="L90" i="3"/>
  <c r="L88" i="3"/>
  <c r="N88" i="3" s="1"/>
  <c r="L87" i="3"/>
  <c r="L85" i="3"/>
  <c r="N85" i="3" s="1"/>
  <c r="L83" i="3"/>
  <c r="L81" i="3"/>
  <c r="N81" i="3" s="1"/>
  <c r="L79" i="3"/>
  <c r="L77" i="3"/>
  <c r="N77" i="3" s="1"/>
  <c r="L270" i="3"/>
  <c r="L288" i="3"/>
  <c r="L286" i="3"/>
  <c r="L280" i="3"/>
  <c r="L278" i="3"/>
  <c r="N278" i="3" s="1"/>
  <c r="L276" i="3"/>
  <c r="N276" i="3" s="1"/>
  <c r="L274" i="3"/>
  <c r="L272" i="3"/>
  <c r="L269" i="3"/>
  <c r="N269" i="3" s="1"/>
  <c r="L266" i="3"/>
  <c r="N266" i="3" s="1"/>
  <c r="L264" i="3"/>
  <c r="L260" i="3"/>
  <c r="L256" i="3"/>
  <c r="L252" i="3"/>
  <c r="L248" i="3"/>
  <c r="L234" i="3"/>
  <c r="L222" i="3"/>
  <c r="L221" i="3"/>
  <c r="L219" i="3"/>
  <c r="L216" i="3"/>
  <c r="L214" i="3"/>
  <c r="L212" i="3"/>
  <c r="L210" i="3"/>
  <c r="L208" i="3"/>
  <c r="L206" i="3"/>
  <c r="L204" i="3"/>
  <c r="L202" i="3"/>
  <c r="L200" i="3"/>
  <c r="L199" i="3"/>
  <c r="L197" i="3"/>
  <c r="L195" i="3"/>
  <c r="L193" i="3"/>
  <c r="L191" i="3"/>
  <c r="L189" i="3"/>
  <c r="L187" i="3"/>
  <c r="L185" i="3"/>
  <c r="L183" i="3"/>
  <c r="L181" i="3"/>
  <c r="L179" i="3"/>
  <c r="L177" i="3"/>
  <c r="L175" i="3"/>
  <c r="L173" i="3"/>
  <c r="L171" i="3"/>
  <c r="L169" i="3"/>
  <c r="L167" i="3"/>
  <c r="L165" i="3"/>
  <c r="L75" i="3"/>
  <c r="L73" i="3"/>
  <c r="L71" i="3"/>
  <c r="L69" i="3"/>
  <c r="L67" i="3"/>
  <c r="L8" i="3"/>
  <c r="L6" i="3"/>
  <c r="L10" i="3"/>
  <c r="E13" i="6"/>
  <c r="L282" i="3"/>
  <c r="L262" i="3"/>
  <c r="L261" i="3"/>
  <c r="L258" i="3"/>
  <c r="L257" i="3"/>
  <c r="L254" i="3"/>
  <c r="L253" i="3"/>
  <c r="L250" i="3"/>
  <c r="L249" i="3"/>
  <c r="L246" i="3"/>
  <c r="L232" i="3"/>
  <c r="L163" i="3"/>
  <c r="L162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64" i="3"/>
  <c r="L63" i="3"/>
  <c r="L62" i="3"/>
  <c r="L61" i="3"/>
  <c r="L60" i="3"/>
  <c r="L59" i="3"/>
  <c r="L58" i="3"/>
  <c r="L57" i="3"/>
  <c r="L56" i="3"/>
  <c r="L55" i="3"/>
  <c r="L54" i="3"/>
  <c r="L53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25" i="3"/>
  <c r="L24" i="3"/>
  <c r="L23" i="3"/>
  <c r="L22" i="3"/>
  <c r="L21" i="3"/>
  <c r="L20" i="3"/>
  <c r="L19" i="3"/>
  <c r="B26" i="6"/>
  <c r="H26" i="6"/>
  <c r="E26" i="6"/>
  <c r="B39" i="6"/>
  <c r="AV281" i="3" l="1"/>
  <c r="AN4" i="3"/>
  <c r="Q5" i="3"/>
  <c r="J4" i="3"/>
  <c r="CL14" i="3"/>
  <c r="CK14" i="3"/>
  <c r="BT14" i="3"/>
  <c r="BU14" i="3" s="1"/>
  <c r="BV14" i="3" s="1"/>
  <c r="BO170" i="3"/>
  <c r="BS170" i="3"/>
  <c r="BW170" i="3"/>
  <c r="CI170" i="3"/>
  <c r="CM170" i="3" s="1"/>
  <c r="CJ170" i="3"/>
  <c r="BN170" i="3"/>
  <c r="BP14" i="3"/>
  <c r="BQ14" i="3"/>
  <c r="BR14" i="3" s="1"/>
  <c r="S141" i="3"/>
  <c r="S255" i="3"/>
  <c r="S161" i="3"/>
  <c r="S259" i="3"/>
  <c r="S263" i="3"/>
  <c r="S21" i="3"/>
  <c r="N21" i="3"/>
  <c r="S25" i="3"/>
  <c r="N25" i="3"/>
  <c r="S40" i="3"/>
  <c r="N40" i="3"/>
  <c r="S43" i="3"/>
  <c r="N43" i="3"/>
  <c r="S49" i="3"/>
  <c r="N49" i="3"/>
  <c r="S20" i="3"/>
  <c r="N20" i="3"/>
  <c r="S22" i="3"/>
  <c r="N22" i="3"/>
  <c r="S24" i="3"/>
  <c r="N24" i="3"/>
  <c r="S37" i="3"/>
  <c r="N37" i="3"/>
  <c r="S39" i="3"/>
  <c r="N39" i="3"/>
  <c r="S41" i="3"/>
  <c r="N41" i="3"/>
  <c r="S44" i="3"/>
  <c r="N44" i="3"/>
  <c r="S46" i="3"/>
  <c r="N46" i="3"/>
  <c r="S48" i="3"/>
  <c r="N48" i="3"/>
  <c r="S50" i="3"/>
  <c r="N50" i="3"/>
  <c r="S54" i="3"/>
  <c r="N54" i="3"/>
  <c r="S56" i="3"/>
  <c r="N56" i="3"/>
  <c r="S58" i="3"/>
  <c r="N58" i="3"/>
  <c r="S60" i="3"/>
  <c r="N60" i="3"/>
  <c r="S62" i="3"/>
  <c r="N62" i="3"/>
  <c r="S64" i="3"/>
  <c r="N64" i="3"/>
  <c r="S142" i="3"/>
  <c r="N142" i="3"/>
  <c r="S144" i="3"/>
  <c r="N144" i="3"/>
  <c r="S146" i="3"/>
  <c r="N146" i="3"/>
  <c r="S148" i="3"/>
  <c r="N148" i="3"/>
  <c r="S150" i="3"/>
  <c r="N150" i="3"/>
  <c r="S152" i="3"/>
  <c r="N152" i="3"/>
  <c r="S154" i="3"/>
  <c r="N154" i="3"/>
  <c r="S156" i="3"/>
  <c r="N156" i="3"/>
  <c r="S158" i="3"/>
  <c r="N158" i="3"/>
  <c r="S160" i="3"/>
  <c r="N160" i="3"/>
  <c r="S162" i="3"/>
  <c r="N162" i="3"/>
  <c r="S232" i="3"/>
  <c r="N232" i="3"/>
  <c r="S249" i="3"/>
  <c r="N249" i="3"/>
  <c r="S253" i="3"/>
  <c r="N253" i="3"/>
  <c r="S257" i="3"/>
  <c r="N257" i="3"/>
  <c r="S261" i="3"/>
  <c r="N261" i="3"/>
  <c r="S282" i="3"/>
  <c r="N282" i="3"/>
  <c r="S6" i="3"/>
  <c r="N6" i="3"/>
  <c r="S67" i="3"/>
  <c r="N67" i="3"/>
  <c r="S71" i="3"/>
  <c r="N71" i="3"/>
  <c r="S75" i="3"/>
  <c r="N75" i="3"/>
  <c r="S165" i="3"/>
  <c r="N165" i="3"/>
  <c r="S169" i="3"/>
  <c r="N169" i="3"/>
  <c r="S173" i="3"/>
  <c r="N173" i="3"/>
  <c r="S177" i="3"/>
  <c r="N177" i="3"/>
  <c r="S181" i="3"/>
  <c r="N181" i="3"/>
  <c r="S185" i="3"/>
  <c r="N185" i="3"/>
  <c r="S189" i="3"/>
  <c r="N189" i="3"/>
  <c r="S193" i="3"/>
  <c r="N193" i="3"/>
  <c r="S197" i="3"/>
  <c r="N197" i="3"/>
  <c r="S200" i="3"/>
  <c r="N200" i="3"/>
  <c r="S204" i="3"/>
  <c r="N204" i="3"/>
  <c r="S208" i="3"/>
  <c r="N208" i="3"/>
  <c r="S212" i="3"/>
  <c r="N212" i="3"/>
  <c r="S219" i="3"/>
  <c r="N219" i="3"/>
  <c r="S222" i="3"/>
  <c r="N222" i="3"/>
  <c r="S248" i="3"/>
  <c r="N248" i="3"/>
  <c r="S256" i="3"/>
  <c r="N256" i="3"/>
  <c r="S264" i="3"/>
  <c r="N264" i="3"/>
  <c r="S274" i="3"/>
  <c r="N274" i="3"/>
  <c r="S284" i="3"/>
  <c r="N284" i="3"/>
  <c r="S288" i="3"/>
  <c r="N288" i="3"/>
  <c r="S96" i="3"/>
  <c r="N96" i="3"/>
  <c r="S102" i="3"/>
  <c r="N102" i="3"/>
  <c r="S114" i="3"/>
  <c r="N114" i="3"/>
  <c r="S122" i="3"/>
  <c r="N122" i="3"/>
  <c r="S129" i="3"/>
  <c r="N129" i="3"/>
  <c r="S133" i="3"/>
  <c r="N133" i="3"/>
  <c r="S137" i="3"/>
  <c r="N137" i="3"/>
  <c r="S164" i="3"/>
  <c r="N164" i="3"/>
  <c r="S168" i="3"/>
  <c r="N168" i="3"/>
  <c r="S172" i="3"/>
  <c r="N172" i="3"/>
  <c r="S176" i="3"/>
  <c r="N176" i="3"/>
  <c r="S180" i="3"/>
  <c r="N180" i="3"/>
  <c r="S184" i="3"/>
  <c r="N184" i="3"/>
  <c r="S188" i="3"/>
  <c r="N188" i="3"/>
  <c r="S192" i="3"/>
  <c r="N192" i="3"/>
  <c r="S196" i="3"/>
  <c r="N196" i="3"/>
  <c r="S201" i="3"/>
  <c r="N201" i="3"/>
  <c r="S205" i="3"/>
  <c r="N205" i="3"/>
  <c r="S209" i="3"/>
  <c r="N209" i="3"/>
  <c r="S213" i="3"/>
  <c r="N213" i="3"/>
  <c r="S217" i="3"/>
  <c r="N217" i="3"/>
  <c r="S220" i="3"/>
  <c r="N220" i="3"/>
  <c r="S225" i="3"/>
  <c r="N225" i="3"/>
  <c r="S229" i="3"/>
  <c r="N229" i="3"/>
  <c r="S235" i="3"/>
  <c r="N235" i="3"/>
  <c r="S238" i="3"/>
  <c r="N238" i="3"/>
  <c r="S242" i="3"/>
  <c r="N242" i="3"/>
  <c r="S7" i="3"/>
  <c r="N7" i="3"/>
  <c r="S126" i="3"/>
  <c r="N126" i="3"/>
  <c r="S130" i="3"/>
  <c r="N130" i="3"/>
  <c r="S134" i="3"/>
  <c r="N134" i="3"/>
  <c r="S138" i="3"/>
  <c r="N138" i="3"/>
  <c r="S233" i="3"/>
  <c r="N233" i="3"/>
  <c r="S89" i="3"/>
  <c r="N89" i="3"/>
  <c r="S93" i="3"/>
  <c r="N93" i="3"/>
  <c r="S97" i="3"/>
  <c r="N97" i="3"/>
  <c r="S101" i="3"/>
  <c r="N101" i="3"/>
  <c r="S105" i="3"/>
  <c r="N105" i="3"/>
  <c r="S109" i="3"/>
  <c r="N109" i="3"/>
  <c r="S113" i="3"/>
  <c r="N113" i="3"/>
  <c r="S117" i="3"/>
  <c r="N117" i="3"/>
  <c r="S121" i="3"/>
  <c r="N121" i="3"/>
  <c r="S224" i="3"/>
  <c r="N224" i="3"/>
  <c r="S228" i="3"/>
  <c r="N228" i="3"/>
  <c r="S230" i="3"/>
  <c r="N230" i="3"/>
  <c r="S237" i="3"/>
  <c r="N237" i="3"/>
  <c r="S241" i="3"/>
  <c r="N241" i="3"/>
  <c r="S245" i="3"/>
  <c r="N245" i="3"/>
  <c r="S251" i="3"/>
  <c r="N251" i="3"/>
  <c r="S12" i="3"/>
  <c r="N12" i="3"/>
  <c r="S26" i="3"/>
  <c r="N26" i="3"/>
  <c r="S273" i="3"/>
  <c r="N273" i="3"/>
  <c r="S279" i="3"/>
  <c r="N279" i="3"/>
  <c r="S283" i="3"/>
  <c r="N283" i="3"/>
  <c r="S287" i="3"/>
  <c r="N287" i="3"/>
  <c r="S28" i="3"/>
  <c r="N28" i="3"/>
  <c r="S35" i="3"/>
  <c r="N35" i="3"/>
  <c r="S84" i="3"/>
  <c r="N84" i="3"/>
  <c r="S265" i="3"/>
  <c r="N265" i="3"/>
  <c r="S29" i="3"/>
  <c r="N29" i="3"/>
  <c r="S34" i="3"/>
  <c r="N34" i="3"/>
  <c r="S51" i="3"/>
  <c r="N51" i="3"/>
  <c r="Q62" i="3"/>
  <c r="S19" i="3"/>
  <c r="N19" i="3"/>
  <c r="S23" i="3"/>
  <c r="N23" i="3"/>
  <c r="S38" i="3"/>
  <c r="N38" i="3"/>
  <c r="S42" i="3"/>
  <c r="N42" i="3"/>
  <c r="S45" i="3"/>
  <c r="N45" i="3"/>
  <c r="S47" i="3"/>
  <c r="N47" i="3"/>
  <c r="S53" i="3"/>
  <c r="N53" i="3"/>
  <c r="S55" i="3"/>
  <c r="N55" i="3"/>
  <c r="S57" i="3"/>
  <c r="N57" i="3"/>
  <c r="S59" i="3"/>
  <c r="N59" i="3"/>
  <c r="S61" i="3"/>
  <c r="N61" i="3"/>
  <c r="S63" i="3"/>
  <c r="N63" i="3"/>
  <c r="S143" i="3"/>
  <c r="N143" i="3"/>
  <c r="S145" i="3"/>
  <c r="N145" i="3"/>
  <c r="S147" i="3"/>
  <c r="N147" i="3"/>
  <c r="S149" i="3"/>
  <c r="N149" i="3"/>
  <c r="S151" i="3"/>
  <c r="N151" i="3"/>
  <c r="S153" i="3"/>
  <c r="N153" i="3"/>
  <c r="S155" i="3"/>
  <c r="N155" i="3"/>
  <c r="S157" i="3"/>
  <c r="N157" i="3"/>
  <c r="S159" i="3"/>
  <c r="N159" i="3"/>
  <c r="S163" i="3"/>
  <c r="N163" i="3"/>
  <c r="S246" i="3"/>
  <c r="N246" i="3"/>
  <c r="S250" i="3"/>
  <c r="N250" i="3"/>
  <c r="S254" i="3"/>
  <c r="N254" i="3"/>
  <c r="S258" i="3"/>
  <c r="N258" i="3"/>
  <c r="S262" i="3"/>
  <c r="N262" i="3"/>
  <c r="S10" i="3"/>
  <c r="N10" i="3"/>
  <c r="S8" i="3"/>
  <c r="N8" i="3"/>
  <c r="S69" i="3"/>
  <c r="N69" i="3"/>
  <c r="S73" i="3"/>
  <c r="N73" i="3"/>
  <c r="S167" i="3"/>
  <c r="N167" i="3"/>
  <c r="S171" i="3"/>
  <c r="N171" i="3"/>
  <c r="S175" i="3"/>
  <c r="N175" i="3"/>
  <c r="S179" i="3"/>
  <c r="N179" i="3"/>
  <c r="S183" i="3"/>
  <c r="N183" i="3"/>
  <c r="S187" i="3"/>
  <c r="N187" i="3"/>
  <c r="S191" i="3"/>
  <c r="N191" i="3"/>
  <c r="S195" i="3"/>
  <c r="N195" i="3"/>
  <c r="S199" i="3"/>
  <c r="N199" i="3"/>
  <c r="S202" i="3"/>
  <c r="N202" i="3"/>
  <c r="S206" i="3"/>
  <c r="N206" i="3"/>
  <c r="S210" i="3"/>
  <c r="N210" i="3"/>
  <c r="S214" i="3"/>
  <c r="N214" i="3"/>
  <c r="S216" i="3"/>
  <c r="N216" i="3"/>
  <c r="S221" i="3"/>
  <c r="N221" i="3"/>
  <c r="S234" i="3"/>
  <c r="N234" i="3"/>
  <c r="S252" i="3"/>
  <c r="N252" i="3"/>
  <c r="S260" i="3"/>
  <c r="N260" i="3"/>
  <c r="S272" i="3"/>
  <c r="N272" i="3"/>
  <c r="S280" i="3"/>
  <c r="N280" i="3"/>
  <c r="S286" i="3"/>
  <c r="N286" i="3"/>
  <c r="S270" i="3"/>
  <c r="N270" i="3"/>
  <c r="S79" i="3"/>
  <c r="N79" i="3"/>
  <c r="S83" i="3"/>
  <c r="N83" i="3"/>
  <c r="S87" i="3"/>
  <c r="N87" i="3"/>
  <c r="S90" i="3"/>
  <c r="N90" i="3"/>
  <c r="S100" i="3"/>
  <c r="N100" i="3"/>
  <c r="S116" i="3"/>
  <c r="N116" i="3"/>
  <c r="S120" i="3"/>
  <c r="N120" i="3"/>
  <c r="S127" i="3"/>
  <c r="N127" i="3"/>
  <c r="S135" i="3"/>
  <c r="N135" i="3"/>
  <c r="S139" i="3"/>
  <c r="N139" i="3"/>
  <c r="S166" i="3"/>
  <c r="N166" i="3"/>
  <c r="N170" i="3"/>
  <c r="S174" i="3"/>
  <c r="N174" i="3"/>
  <c r="S178" i="3"/>
  <c r="N178" i="3"/>
  <c r="S182" i="3"/>
  <c r="N182" i="3"/>
  <c r="S186" i="3"/>
  <c r="N186" i="3"/>
  <c r="S190" i="3"/>
  <c r="N190" i="3"/>
  <c r="S194" i="3"/>
  <c r="N194" i="3"/>
  <c r="S198" i="3"/>
  <c r="N198" i="3"/>
  <c r="S203" i="3"/>
  <c r="N203" i="3"/>
  <c r="S207" i="3"/>
  <c r="N207" i="3"/>
  <c r="S211" i="3"/>
  <c r="N211" i="3"/>
  <c r="S215" i="3"/>
  <c r="N215" i="3"/>
  <c r="S218" i="3"/>
  <c r="N218" i="3"/>
  <c r="S223" i="3"/>
  <c r="N223" i="3"/>
  <c r="S227" i="3"/>
  <c r="N227" i="3"/>
  <c r="S231" i="3"/>
  <c r="N231" i="3"/>
  <c r="S240" i="3"/>
  <c r="N240" i="3"/>
  <c r="S244" i="3"/>
  <c r="N244" i="3"/>
  <c r="S125" i="3"/>
  <c r="N125" i="3"/>
  <c r="S128" i="3"/>
  <c r="N128" i="3"/>
  <c r="S132" i="3"/>
  <c r="N132" i="3"/>
  <c r="S136" i="3"/>
  <c r="N136" i="3"/>
  <c r="S140" i="3"/>
  <c r="N140" i="3"/>
  <c r="S86" i="3"/>
  <c r="N86" i="3"/>
  <c r="S91" i="3"/>
  <c r="N91" i="3"/>
  <c r="S95" i="3"/>
  <c r="N95" i="3"/>
  <c r="S99" i="3"/>
  <c r="N99" i="3"/>
  <c r="S103" i="3"/>
  <c r="N103" i="3"/>
  <c r="S107" i="3"/>
  <c r="N107" i="3"/>
  <c r="S111" i="3"/>
  <c r="N111" i="3"/>
  <c r="S115" i="3"/>
  <c r="N115" i="3"/>
  <c r="S119" i="3"/>
  <c r="N119" i="3"/>
  <c r="S123" i="3"/>
  <c r="N123" i="3"/>
  <c r="S226" i="3"/>
  <c r="N226" i="3"/>
  <c r="S236" i="3"/>
  <c r="N236" i="3"/>
  <c r="S239" i="3"/>
  <c r="N239" i="3"/>
  <c r="S243" i="3"/>
  <c r="N243" i="3"/>
  <c r="S247" i="3"/>
  <c r="N247" i="3"/>
  <c r="S267" i="3"/>
  <c r="N267" i="3"/>
  <c r="S277" i="3"/>
  <c r="N277" i="3"/>
  <c r="S281" i="3"/>
  <c r="N281" i="3"/>
  <c r="S285" i="3"/>
  <c r="N285" i="3"/>
  <c r="S289" i="3"/>
  <c r="N289" i="3"/>
  <c r="S80" i="3"/>
  <c r="N80" i="3"/>
  <c r="S124" i="3"/>
  <c r="N124" i="3"/>
  <c r="S27" i="3"/>
  <c r="N27" i="3"/>
  <c r="S32" i="3"/>
  <c r="N32" i="3"/>
  <c r="S36" i="3"/>
  <c r="N36" i="3"/>
  <c r="S290" i="3"/>
  <c r="N290" i="3"/>
  <c r="L66" i="3"/>
  <c r="L72" i="3"/>
  <c r="L268" i="3"/>
  <c r="N268" i="3" s="1"/>
  <c r="L76" i="3"/>
  <c r="L9" i="3"/>
  <c r="N9" i="3" s="1"/>
  <c r="L13" i="3"/>
  <c r="N13" i="3" s="1"/>
  <c r="L30" i="3"/>
  <c r="L68" i="3"/>
  <c r="L74" i="3"/>
  <c r="L271" i="3"/>
  <c r="N271" i="3" s="1"/>
  <c r="L275" i="3"/>
  <c r="N275" i="3" s="1"/>
  <c r="L78" i="3"/>
  <c r="L11" i="3"/>
  <c r="N11" i="3" s="1"/>
  <c r="L33" i="3"/>
  <c r="L52" i="3"/>
  <c r="N52" i="3" s="1"/>
  <c r="L70" i="3"/>
  <c r="L82" i="3"/>
  <c r="L98" i="3"/>
  <c r="N98" i="3" s="1"/>
  <c r="S31" i="3"/>
  <c r="S65" i="3"/>
  <c r="S266" i="3"/>
  <c r="S269" i="3"/>
  <c r="S278" i="3"/>
  <c r="S77" i="3"/>
  <c r="S81" i="3"/>
  <c r="S85" i="3"/>
  <c r="S88" i="3"/>
  <c r="S92" i="3"/>
  <c r="S104" i="3"/>
  <c r="S108" i="3"/>
  <c r="S112" i="3"/>
  <c r="S276" i="3"/>
  <c r="S94" i="3"/>
  <c r="S106" i="3"/>
  <c r="S110" i="3"/>
  <c r="S118" i="3"/>
  <c r="S131" i="3"/>
  <c r="AJ5" i="3"/>
  <c r="AJ4" i="3" s="1"/>
  <c r="AV282" i="3" l="1"/>
  <c r="Q4" i="3"/>
  <c r="CL170" i="3"/>
  <c r="CK170" i="3"/>
  <c r="BO242" i="3"/>
  <c r="BS242" i="3"/>
  <c r="BW242" i="3"/>
  <c r="W242" i="3" s="1"/>
  <c r="CJ242" i="3"/>
  <c r="BN242" i="3"/>
  <c r="CI242" i="3"/>
  <c r="CM242" i="3" s="1"/>
  <c r="V14" i="3"/>
  <c r="U14" i="3"/>
  <c r="BN110" i="3"/>
  <c r="CI110" i="3"/>
  <c r="CM110" i="3" s="1"/>
  <c r="BO110" i="3"/>
  <c r="BS110" i="3"/>
  <c r="BW110" i="3"/>
  <c r="W110" i="3" s="1"/>
  <c r="CJ110" i="3"/>
  <c r="BN112" i="3"/>
  <c r="CI112" i="3"/>
  <c r="CM112" i="3" s="1"/>
  <c r="BO112" i="3"/>
  <c r="BP112" i="3" s="1"/>
  <c r="BQ112" i="3" s="1"/>
  <c r="BR112" i="3" s="1"/>
  <c r="BS112" i="3"/>
  <c r="BW112" i="3"/>
  <c r="W112" i="3" s="1"/>
  <c r="CJ112" i="3"/>
  <c r="BO88" i="3"/>
  <c r="BS88" i="3"/>
  <c r="BT88" i="3" s="1"/>
  <c r="BU88" i="3" s="1"/>
  <c r="BV88" i="3" s="1"/>
  <c r="CI88" i="3"/>
  <c r="CM88" i="3" s="1"/>
  <c r="BN88" i="3"/>
  <c r="BW88" i="3"/>
  <c r="W88" i="3" s="1"/>
  <c r="CJ88" i="3"/>
  <c r="BN266" i="3"/>
  <c r="CI266" i="3"/>
  <c r="CM266" i="3" s="1"/>
  <c r="BO266" i="3"/>
  <c r="BS266" i="3"/>
  <c r="BT266" i="3" s="1"/>
  <c r="BU266" i="3" s="1"/>
  <c r="BV266" i="3" s="1"/>
  <c r="BW266" i="3"/>
  <c r="W266" i="3" s="1"/>
  <c r="CJ266" i="3"/>
  <c r="BO65" i="3"/>
  <c r="BS65" i="3"/>
  <c r="BW65" i="3"/>
  <c r="W65" i="3" s="1"/>
  <c r="CJ65" i="3"/>
  <c r="BN65" i="3"/>
  <c r="CI65" i="3"/>
  <c r="CM65" i="3" s="1"/>
  <c r="BN166" i="3"/>
  <c r="BS166" i="3"/>
  <c r="BW166" i="3"/>
  <c r="W166" i="3" s="1"/>
  <c r="CI166" i="3"/>
  <c r="CM166" i="3" s="1"/>
  <c r="CJ166" i="3"/>
  <c r="BO166" i="3"/>
  <c r="BP166" i="3" s="1"/>
  <c r="BQ166" i="3" s="1"/>
  <c r="BR166" i="3" s="1"/>
  <c r="BO139" i="3"/>
  <c r="BS139" i="3"/>
  <c r="BT139" i="3" s="1"/>
  <c r="BU139" i="3" s="1"/>
  <c r="BV139" i="3" s="1"/>
  <c r="BN139" i="3"/>
  <c r="BW139" i="3"/>
  <c r="W139" i="3" s="1"/>
  <c r="CI139" i="3"/>
  <c r="CM139" i="3" s="1"/>
  <c r="CJ139" i="3"/>
  <c r="BO135" i="3"/>
  <c r="BS135" i="3"/>
  <c r="BT135" i="3" s="1"/>
  <c r="BU135" i="3" s="1"/>
  <c r="BV135" i="3" s="1"/>
  <c r="BN135" i="3"/>
  <c r="BW135" i="3"/>
  <c r="W135" i="3" s="1"/>
  <c r="CI135" i="3"/>
  <c r="CM135" i="3" s="1"/>
  <c r="CJ135" i="3"/>
  <c r="BO127" i="3"/>
  <c r="BS127" i="3"/>
  <c r="BT127" i="3" s="1"/>
  <c r="BU127" i="3" s="1"/>
  <c r="BV127" i="3" s="1"/>
  <c r="BN127" i="3"/>
  <c r="BW127" i="3"/>
  <c r="W127" i="3" s="1"/>
  <c r="CI127" i="3"/>
  <c r="CM127" i="3" s="1"/>
  <c r="CJ127" i="3"/>
  <c r="BN120" i="3"/>
  <c r="CJ120" i="3"/>
  <c r="BO120" i="3"/>
  <c r="BS120" i="3"/>
  <c r="BT120" i="3" s="1"/>
  <c r="BU120" i="3" s="1"/>
  <c r="BV120" i="3" s="1"/>
  <c r="BW120" i="3"/>
  <c r="W120" i="3" s="1"/>
  <c r="CI120" i="3"/>
  <c r="CM120" i="3" s="1"/>
  <c r="BO116" i="3"/>
  <c r="BS116" i="3"/>
  <c r="BW116" i="3"/>
  <c r="W116" i="3" s="1"/>
  <c r="CJ116" i="3"/>
  <c r="BN116" i="3"/>
  <c r="CI116" i="3"/>
  <c r="CM116" i="3" s="1"/>
  <c r="BN100" i="3"/>
  <c r="CI100" i="3"/>
  <c r="CM100" i="3" s="1"/>
  <c r="BO100" i="3"/>
  <c r="BP100" i="3" s="1"/>
  <c r="BQ100" i="3" s="1"/>
  <c r="BR100" i="3" s="1"/>
  <c r="BS100" i="3"/>
  <c r="BW100" i="3"/>
  <c r="W100" i="3" s="1"/>
  <c r="CJ100" i="3"/>
  <c r="BO90" i="3"/>
  <c r="BP90" i="3" s="1"/>
  <c r="BQ90" i="3" s="1"/>
  <c r="BR90" i="3" s="1"/>
  <c r="CI90" i="3"/>
  <c r="CM90" i="3" s="1"/>
  <c r="BN90" i="3"/>
  <c r="BS90" i="3"/>
  <c r="BW90" i="3"/>
  <c r="W90" i="3" s="1"/>
  <c r="CJ90" i="3"/>
  <c r="BN87" i="3"/>
  <c r="CI87" i="3"/>
  <c r="CM87" i="3" s="1"/>
  <c r="BO87" i="3"/>
  <c r="BS87" i="3"/>
  <c r="BW87" i="3"/>
  <c r="W87" i="3" s="1"/>
  <c r="CJ87" i="3"/>
  <c r="BN83" i="3"/>
  <c r="CJ83" i="3"/>
  <c r="BO83" i="3"/>
  <c r="BP83" i="3" s="1"/>
  <c r="BQ83" i="3" s="1"/>
  <c r="BR83" i="3" s="1"/>
  <c r="BS83" i="3"/>
  <c r="BW83" i="3"/>
  <c r="W83" i="3" s="1"/>
  <c r="CI83" i="3"/>
  <c r="CM83" i="3" s="1"/>
  <c r="BN79" i="3"/>
  <c r="CI79" i="3"/>
  <c r="CM79" i="3" s="1"/>
  <c r="BO79" i="3"/>
  <c r="BS79" i="3"/>
  <c r="BW79" i="3"/>
  <c r="W79" i="3" s="1"/>
  <c r="CJ79" i="3"/>
  <c r="BN270" i="3"/>
  <c r="CI270" i="3"/>
  <c r="CM270" i="3" s="1"/>
  <c r="BO270" i="3"/>
  <c r="BS270" i="3"/>
  <c r="BT270" i="3" s="1"/>
  <c r="BU270" i="3" s="1"/>
  <c r="BV270" i="3" s="1"/>
  <c r="BW270" i="3"/>
  <c r="W270" i="3" s="1"/>
  <c r="CJ270" i="3"/>
  <c r="BO286" i="3"/>
  <c r="BS286" i="3"/>
  <c r="BT286" i="3" s="1"/>
  <c r="BU286" i="3" s="1"/>
  <c r="BV286" i="3" s="1"/>
  <c r="BW286" i="3"/>
  <c r="W286" i="3" s="1"/>
  <c r="CJ286" i="3"/>
  <c r="BN286" i="3"/>
  <c r="CI286" i="3"/>
  <c r="CM286" i="3" s="1"/>
  <c r="BN280" i="3"/>
  <c r="CI280" i="3"/>
  <c r="CM280" i="3" s="1"/>
  <c r="BO280" i="3"/>
  <c r="BS280" i="3"/>
  <c r="BW280" i="3"/>
  <c r="W280" i="3" s="1"/>
  <c r="CJ280" i="3"/>
  <c r="BN272" i="3"/>
  <c r="CI272" i="3"/>
  <c r="CM272" i="3" s="1"/>
  <c r="BO272" i="3"/>
  <c r="BS272" i="3"/>
  <c r="BT272" i="3" s="1"/>
  <c r="BU272" i="3" s="1"/>
  <c r="BV272" i="3" s="1"/>
  <c r="BW272" i="3"/>
  <c r="W272" i="3" s="1"/>
  <c r="CJ272" i="3"/>
  <c r="BN260" i="3"/>
  <c r="CI260" i="3"/>
  <c r="CM260" i="3" s="1"/>
  <c r="BO260" i="3"/>
  <c r="BP260" i="3" s="1"/>
  <c r="BQ260" i="3" s="1"/>
  <c r="BR260" i="3" s="1"/>
  <c r="BS260" i="3"/>
  <c r="BW260" i="3"/>
  <c r="W260" i="3" s="1"/>
  <c r="CJ260" i="3"/>
  <c r="BN252" i="3"/>
  <c r="CI252" i="3"/>
  <c r="CM252" i="3" s="1"/>
  <c r="BO252" i="3"/>
  <c r="BS252" i="3"/>
  <c r="BW252" i="3"/>
  <c r="W252" i="3" s="1"/>
  <c r="CJ252" i="3"/>
  <c r="BN234" i="3"/>
  <c r="CI234" i="3"/>
  <c r="CM234" i="3" s="1"/>
  <c r="BO234" i="3"/>
  <c r="BS234" i="3"/>
  <c r="BT234" i="3" s="1"/>
  <c r="BU234" i="3" s="1"/>
  <c r="BV234" i="3" s="1"/>
  <c r="BW234" i="3"/>
  <c r="W234" i="3" s="1"/>
  <c r="CJ234" i="3"/>
  <c r="BO221" i="3"/>
  <c r="BP221" i="3" s="1"/>
  <c r="BQ221" i="3" s="1"/>
  <c r="BR221" i="3" s="1"/>
  <c r="BS221" i="3"/>
  <c r="BW221" i="3"/>
  <c r="W221" i="3" s="1"/>
  <c r="CJ221" i="3"/>
  <c r="BN221" i="3"/>
  <c r="CI221" i="3"/>
  <c r="CM221" i="3" s="1"/>
  <c r="BO216" i="3"/>
  <c r="BP216" i="3" s="1"/>
  <c r="BQ216" i="3" s="1"/>
  <c r="BR216" i="3" s="1"/>
  <c r="BS216" i="3"/>
  <c r="BW216" i="3"/>
  <c r="W216" i="3" s="1"/>
  <c r="CJ216" i="3"/>
  <c r="BN216" i="3"/>
  <c r="CI216" i="3"/>
  <c r="CM216" i="3" s="1"/>
  <c r="BO214" i="3"/>
  <c r="BP214" i="3" s="1"/>
  <c r="BQ214" i="3" s="1"/>
  <c r="BR214" i="3" s="1"/>
  <c r="BS214" i="3"/>
  <c r="BW214" i="3"/>
  <c r="W214" i="3" s="1"/>
  <c r="CJ214" i="3"/>
  <c r="BN214" i="3"/>
  <c r="CI214" i="3"/>
  <c r="CM214" i="3" s="1"/>
  <c r="BO210" i="3"/>
  <c r="BS210" i="3"/>
  <c r="BW210" i="3"/>
  <c r="W210" i="3" s="1"/>
  <c r="CJ210" i="3"/>
  <c r="BN210" i="3"/>
  <c r="CI210" i="3"/>
  <c r="CM210" i="3" s="1"/>
  <c r="BO206" i="3"/>
  <c r="BW206" i="3"/>
  <c r="W206" i="3" s="1"/>
  <c r="CI206" i="3"/>
  <c r="CM206" i="3" s="1"/>
  <c r="CJ206" i="3"/>
  <c r="BN206" i="3"/>
  <c r="BS206" i="3"/>
  <c r="BO199" i="3"/>
  <c r="BW199" i="3"/>
  <c r="W199" i="3" s="1"/>
  <c r="CI199" i="3"/>
  <c r="CM199" i="3" s="1"/>
  <c r="CJ199" i="3"/>
  <c r="BN199" i="3"/>
  <c r="BS199" i="3"/>
  <c r="BO195" i="3"/>
  <c r="BW195" i="3"/>
  <c r="W195" i="3" s="1"/>
  <c r="CI195" i="3"/>
  <c r="CM195" i="3" s="1"/>
  <c r="CJ195" i="3"/>
  <c r="BN195" i="3"/>
  <c r="BS195" i="3"/>
  <c r="BO191" i="3"/>
  <c r="BW191" i="3"/>
  <c r="W191" i="3" s="1"/>
  <c r="CI191" i="3"/>
  <c r="CM191" i="3" s="1"/>
  <c r="CJ191" i="3"/>
  <c r="BN191" i="3"/>
  <c r="BS191" i="3"/>
  <c r="BO187" i="3"/>
  <c r="BW187" i="3"/>
  <c r="W187" i="3" s="1"/>
  <c r="CI187" i="3"/>
  <c r="CM187" i="3" s="1"/>
  <c r="CJ187" i="3"/>
  <c r="BN187" i="3"/>
  <c r="BS187" i="3"/>
  <c r="BO183" i="3"/>
  <c r="BW183" i="3"/>
  <c r="W183" i="3" s="1"/>
  <c r="CI183" i="3"/>
  <c r="CM183" i="3" s="1"/>
  <c r="CJ183" i="3"/>
  <c r="BN183" i="3"/>
  <c r="BS183" i="3"/>
  <c r="BO179" i="3"/>
  <c r="BP179" i="3" s="1"/>
  <c r="BQ179" i="3" s="1"/>
  <c r="BR179" i="3" s="1"/>
  <c r="BN179" i="3"/>
  <c r="BS179" i="3"/>
  <c r="BW179" i="3"/>
  <c r="W179" i="3" s="1"/>
  <c r="CI179" i="3"/>
  <c r="CM179" i="3" s="1"/>
  <c r="CJ179" i="3"/>
  <c r="BN175" i="3"/>
  <c r="BW175" i="3"/>
  <c r="W175" i="3" s="1"/>
  <c r="CI175" i="3"/>
  <c r="CM175" i="3" s="1"/>
  <c r="CJ175" i="3"/>
  <c r="BO175" i="3"/>
  <c r="BS175" i="3"/>
  <c r="BT175" i="3" s="1"/>
  <c r="BU175" i="3" s="1"/>
  <c r="BV175" i="3" s="1"/>
  <c r="BN171" i="3"/>
  <c r="BW171" i="3"/>
  <c r="W171" i="3" s="1"/>
  <c r="CI171" i="3"/>
  <c r="CM171" i="3" s="1"/>
  <c r="CJ171" i="3"/>
  <c r="BO171" i="3"/>
  <c r="BS171" i="3"/>
  <c r="BT171" i="3" s="1"/>
  <c r="BU171" i="3" s="1"/>
  <c r="BV171" i="3" s="1"/>
  <c r="BN167" i="3"/>
  <c r="BW167" i="3"/>
  <c r="W167" i="3" s="1"/>
  <c r="CI167" i="3"/>
  <c r="CM167" i="3" s="1"/>
  <c r="CJ167" i="3"/>
  <c r="BO167" i="3"/>
  <c r="BS167" i="3"/>
  <c r="BT167" i="3" s="1"/>
  <c r="BU167" i="3" s="1"/>
  <c r="BV167" i="3" s="1"/>
  <c r="BN73" i="3"/>
  <c r="CI73" i="3"/>
  <c r="CM73" i="3" s="1"/>
  <c r="BO73" i="3"/>
  <c r="BS73" i="3"/>
  <c r="BW73" i="3"/>
  <c r="W73" i="3" s="1"/>
  <c r="CJ73" i="3"/>
  <c r="BN69" i="3"/>
  <c r="CI69" i="3"/>
  <c r="CM69" i="3" s="1"/>
  <c r="BO69" i="3"/>
  <c r="BS69" i="3"/>
  <c r="BT69" i="3" s="1"/>
  <c r="BU69" i="3" s="1"/>
  <c r="BV69" i="3" s="1"/>
  <c r="BW69" i="3"/>
  <c r="W69" i="3" s="1"/>
  <c r="CJ69" i="3"/>
  <c r="BO8" i="3"/>
  <c r="BS8" i="3"/>
  <c r="BT8" i="3" s="1"/>
  <c r="BU8" i="3" s="1"/>
  <c r="BV8" i="3" s="1"/>
  <c r="BN8" i="3"/>
  <c r="BW8" i="3"/>
  <c r="W8" i="3" s="1"/>
  <c r="CI8" i="3"/>
  <c r="CM8" i="3" s="1"/>
  <c r="CJ8" i="3"/>
  <c r="BO10" i="3"/>
  <c r="BP10" i="3" s="1"/>
  <c r="BQ10" i="3" s="1"/>
  <c r="BR10" i="3" s="1"/>
  <c r="BN10" i="3"/>
  <c r="BS10" i="3"/>
  <c r="BW10" i="3"/>
  <c r="W10" i="3" s="1"/>
  <c r="CI10" i="3"/>
  <c r="CM10" i="3" s="1"/>
  <c r="CJ10" i="3"/>
  <c r="BN262" i="3"/>
  <c r="CI262" i="3"/>
  <c r="CM262" i="3" s="1"/>
  <c r="BO262" i="3"/>
  <c r="BS262" i="3"/>
  <c r="BW262" i="3"/>
  <c r="W262" i="3" s="1"/>
  <c r="CJ262" i="3"/>
  <c r="BN258" i="3"/>
  <c r="CI258" i="3"/>
  <c r="CM258" i="3" s="1"/>
  <c r="BO258" i="3"/>
  <c r="BS258" i="3"/>
  <c r="BW258" i="3"/>
  <c r="W258" i="3" s="1"/>
  <c r="CJ258" i="3"/>
  <c r="BN254" i="3"/>
  <c r="CI254" i="3"/>
  <c r="CM254" i="3" s="1"/>
  <c r="BO254" i="3"/>
  <c r="BS254" i="3"/>
  <c r="BW254" i="3"/>
  <c r="W254" i="3" s="1"/>
  <c r="CJ254" i="3"/>
  <c r="BN250" i="3"/>
  <c r="CI250" i="3"/>
  <c r="CM250" i="3" s="1"/>
  <c r="BO250" i="3"/>
  <c r="BS250" i="3"/>
  <c r="BT250" i="3" s="1"/>
  <c r="BU250" i="3" s="1"/>
  <c r="BV250" i="3" s="1"/>
  <c r="BW250" i="3"/>
  <c r="W250" i="3" s="1"/>
  <c r="CJ250" i="3"/>
  <c r="BN246" i="3"/>
  <c r="CI246" i="3"/>
  <c r="CM246" i="3" s="1"/>
  <c r="BO246" i="3"/>
  <c r="BS246" i="3"/>
  <c r="BT246" i="3" s="1"/>
  <c r="BU246" i="3" s="1"/>
  <c r="BV246" i="3" s="1"/>
  <c r="BW246" i="3"/>
  <c r="W246" i="3" s="1"/>
  <c r="CJ246" i="3"/>
  <c r="BO163" i="3"/>
  <c r="BS163" i="3"/>
  <c r="BT163" i="3" s="1"/>
  <c r="BU163" i="3" s="1"/>
  <c r="BV163" i="3" s="1"/>
  <c r="BN163" i="3"/>
  <c r="BW163" i="3"/>
  <c r="W163" i="3" s="1"/>
  <c r="CI163" i="3"/>
  <c r="CM163" i="3" s="1"/>
  <c r="CJ163" i="3"/>
  <c r="BO159" i="3"/>
  <c r="BS159" i="3"/>
  <c r="BT159" i="3" s="1"/>
  <c r="BU159" i="3" s="1"/>
  <c r="BV159" i="3" s="1"/>
  <c r="BN159" i="3"/>
  <c r="BW159" i="3"/>
  <c r="W159" i="3" s="1"/>
  <c r="CI159" i="3"/>
  <c r="CM159" i="3" s="1"/>
  <c r="CJ159" i="3"/>
  <c r="BO157" i="3"/>
  <c r="BS157" i="3"/>
  <c r="BT157" i="3" s="1"/>
  <c r="BU157" i="3" s="1"/>
  <c r="BV157" i="3" s="1"/>
  <c r="BN157" i="3"/>
  <c r="BW157" i="3"/>
  <c r="W157" i="3" s="1"/>
  <c r="CI157" i="3"/>
  <c r="CM157" i="3" s="1"/>
  <c r="CJ157" i="3"/>
  <c r="BO155" i="3"/>
  <c r="BP155" i="3" s="1"/>
  <c r="BQ155" i="3" s="1"/>
  <c r="BR155" i="3" s="1"/>
  <c r="BN155" i="3"/>
  <c r="BS155" i="3"/>
  <c r="BW155" i="3"/>
  <c r="W155" i="3" s="1"/>
  <c r="CI155" i="3"/>
  <c r="CM155" i="3" s="1"/>
  <c r="CJ155" i="3"/>
  <c r="BO153" i="3"/>
  <c r="BS153" i="3"/>
  <c r="BT153" i="3" s="1"/>
  <c r="BU153" i="3" s="1"/>
  <c r="BV153" i="3" s="1"/>
  <c r="BN153" i="3"/>
  <c r="BW153" i="3"/>
  <c r="W153" i="3" s="1"/>
  <c r="CI153" i="3"/>
  <c r="CM153" i="3" s="1"/>
  <c r="CJ153" i="3"/>
  <c r="BO151" i="3"/>
  <c r="BS151" i="3"/>
  <c r="BT151" i="3" s="1"/>
  <c r="BU151" i="3" s="1"/>
  <c r="BV151" i="3" s="1"/>
  <c r="BN151" i="3"/>
  <c r="BW151" i="3"/>
  <c r="W151" i="3" s="1"/>
  <c r="CI151" i="3"/>
  <c r="CM151" i="3" s="1"/>
  <c r="CJ151" i="3"/>
  <c r="BN149" i="3"/>
  <c r="BW149" i="3"/>
  <c r="W149" i="3" s="1"/>
  <c r="CI149" i="3"/>
  <c r="CM149" i="3" s="1"/>
  <c r="CJ149" i="3"/>
  <c r="BO149" i="3"/>
  <c r="BS149" i="3"/>
  <c r="BT149" i="3" s="1"/>
  <c r="BU149" i="3" s="1"/>
  <c r="BV149" i="3" s="1"/>
  <c r="BN147" i="3"/>
  <c r="BW147" i="3"/>
  <c r="W147" i="3" s="1"/>
  <c r="CI147" i="3"/>
  <c r="CM147" i="3" s="1"/>
  <c r="CJ147" i="3"/>
  <c r="BO147" i="3"/>
  <c r="BS147" i="3"/>
  <c r="BT147" i="3" s="1"/>
  <c r="BU147" i="3" s="1"/>
  <c r="BV147" i="3" s="1"/>
  <c r="BN145" i="3"/>
  <c r="BW145" i="3"/>
  <c r="W145" i="3" s="1"/>
  <c r="CI145" i="3"/>
  <c r="CM145" i="3" s="1"/>
  <c r="CJ145" i="3"/>
  <c r="BO145" i="3"/>
  <c r="BS145" i="3"/>
  <c r="BT145" i="3" s="1"/>
  <c r="BU145" i="3" s="1"/>
  <c r="BV145" i="3" s="1"/>
  <c r="BN143" i="3"/>
  <c r="BW143" i="3"/>
  <c r="W143" i="3" s="1"/>
  <c r="CI143" i="3"/>
  <c r="CM143" i="3" s="1"/>
  <c r="CJ143" i="3"/>
  <c r="BO143" i="3"/>
  <c r="BS143" i="3"/>
  <c r="BT143" i="3" s="1"/>
  <c r="BU143" i="3" s="1"/>
  <c r="BV143" i="3" s="1"/>
  <c r="BO63" i="3"/>
  <c r="BS63" i="3"/>
  <c r="BT63" i="3" s="1"/>
  <c r="BU63" i="3" s="1"/>
  <c r="BV63" i="3" s="1"/>
  <c r="BW63" i="3"/>
  <c r="W63" i="3" s="1"/>
  <c r="CJ63" i="3"/>
  <c r="BN63" i="3"/>
  <c r="CI63" i="3"/>
  <c r="CM63" i="3" s="1"/>
  <c r="BO61" i="3"/>
  <c r="BS61" i="3"/>
  <c r="BT61" i="3" s="1"/>
  <c r="BU61" i="3" s="1"/>
  <c r="BV61" i="3" s="1"/>
  <c r="BW61" i="3"/>
  <c r="W61" i="3" s="1"/>
  <c r="CJ61" i="3"/>
  <c r="BN61" i="3"/>
  <c r="CI61" i="3"/>
  <c r="CM61" i="3" s="1"/>
  <c r="BO59" i="3"/>
  <c r="BS59" i="3"/>
  <c r="BW59" i="3"/>
  <c r="W59" i="3" s="1"/>
  <c r="CI59" i="3"/>
  <c r="CM59" i="3" s="1"/>
  <c r="CJ59" i="3"/>
  <c r="BN59" i="3"/>
  <c r="BO57" i="3"/>
  <c r="BS57" i="3"/>
  <c r="BW57" i="3"/>
  <c r="W57" i="3" s="1"/>
  <c r="CI57" i="3"/>
  <c r="CM57" i="3" s="1"/>
  <c r="CJ57" i="3"/>
  <c r="BN57" i="3"/>
  <c r="BO55" i="3"/>
  <c r="BS55" i="3"/>
  <c r="BW55" i="3"/>
  <c r="W55" i="3" s="1"/>
  <c r="CI55" i="3"/>
  <c r="CM55" i="3" s="1"/>
  <c r="CJ55" i="3"/>
  <c r="BN55" i="3"/>
  <c r="BO53" i="3"/>
  <c r="BS53" i="3"/>
  <c r="BW53" i="3"/>
  <c r="W53" i="3" s="1"/>
  <c r="CI53" i="3"/>
  <c r="CM53" i="3" s="1"/>
  <c r="CJ53" i="3"/>
  <c r="BN53" i="3"/>
  <c r="BN47" i="3"/>
  <c r="BO47" i="3"/>
  <c r="BS47" i="3"/>
  <c r="BW47" i="3"/>
  <c r="W47" i="3" s="1"/>
  <c r="CI47" i="3"/>
  <c r="CM47" i="3" s="1"/>
  <c r="CJ47" i="3"/>
  <c r="BN45" i="3"/>
  <c r="BO45" i="3"/>
  <c r="BS45" i="3"/>
  <c r="BW45" i="3"/>
  <c r="W45" i="3" s="1"/>
  <c r="CI45" i="3"/>
  <c r="CM45" i="3" s="1"/>
  <c r="CJ45" i="3"/>
  <c r="BO42" i="3"/>
  <c r="BS42" i="3"/>
  <c r="BW42" i="3"/>
  <c r="W42" i="3" s="1"/>
  <c r="CI42" i="3"/>
  <c r="CM42" i="3" s="1"/>
  <c r="CJ42" i="3"/>
  <c r="BN42" i="3"/>
  <c r="BO38" i="3"/>
  <c r="BS38" i="3"/>
  <c r="BW38" i="3"/>
  <c r="W38" i="3" s="1"/>
  <c r="CI38" i="3"/>
  <c r="CM38" i="3" s="1"/>
  <c r="CJ38" i="3"/>
  <c r="BN38" i="3"/>
  <c r="BO23" i="3"/>
  <c r="BS23" i="3"/>
  <c r="BT23" i="3" s="1"/>
  <c r="BU23" i="3" s="1"/>
  <c r="BV23" i="3" s="1"/>
  <c r="BN23" i="3"/>
  <c r="BW23" i="3"/>
  <c r="W23" i="3" s="1"/>
  <c r="CI23" i="3"/>
  <c r="CM23" i="3" s="1"/>
  <c r="CJ23" i="3"/>
  <c r="BN19" i="3"/>
  <c r="CJ19" i="3"/>
  <c r="BO19" i="3"/>
  <c r="BP19" i="3" s="1"/>
  <c r="BQ19" i="3" s="1"/>
  <c r="BR19" i="3" s="1"/>
  <c r="BS19" i="3"/>
  <c r="BW19" i="3"/>
  <c r="W19" i="3" s="1"/>
  <c r="CI19" i="3"/>
  <c r="CM19" i="3" s="1"/>
  <c r="BN51" i="3"/>
  <c r="BW51" i="3"/>
  <c r="W51" i="3" s="1"/>
  <c r="CI51" i="3"/>
  <c r="CM51" i="3" s="1"/>
  <c r="CJ51" i="3"/>
  <c r="BO51" i="3"/>
  <c r="BS51" i="3"/>
  <c r="BT51" i="3" s="1"/>
  <c r="BU51" i="3" s="1"/>
  <c r="BV51" i="3" s="1"/>
  <c r="BO34" i="3"/>
  <c r="BP34" i="3" s="1"/>
  <c r="BQ34" i="3" s="1"/>
  <c r="BR34" i="3" s="1"/>
  <c r="BN34" i="3"/>
  <c r="BS34" i="3"/>
  <c r="BW34" i="3"/>
  <c r="W34" i="3" s="1"/>
  <c r="CI34" i="3"/>
  <c r="CM34" i="3" s="1"/>
  <c r="CJ34" i="3"/>
  <c r="BN29" i="3"/>
  <c r="BW29" i="3"/>
  <c r="W29" i="3" s="1"/>
  <c r="CI29" i="3"/>
  <c r="CM29" i="3" s="1"/>
  <c r="CJ29" i="3"/>
  <c r="BO29" i="3"/>
  <c r="BS29" i="3"/>
  <c r="BT29" i="3" s="1"/>
  <c r="BU29" i="3" s="1"/>
  <c r="BV29" i="3" s="1"/>
  <c r="BN265" i="3"/>
  <c r="CI265" i="3"/>
  <c r="CM265" i="3" s="1"/>
  <c r="BO265" i="3"/>
  <c r="BS265" i="3"/>
  <c r="BT265" i="3" s="1"/>
  <c r="BU265" i="3" s="1"/>
  <c r="BV265" i="3" s="1"/>
  <c r="BW265" i="3"/>
  <c r="W265" i="3" s="1"/>
  <c r="CJ265" i="3"/>
  <c r="BO84" i="3"/>
  <c r="BS84" i="3"/>
  <c r="BT84" i="3" s="1"/>
  <c r="BU84" i="3" s="1"/>
  <c r="BV84" i="3" s="1"/>
  <c r="BW84" i="3"/>
  <c r="W84" i="3" s="1"/>
  <c r="CI84" i="3"/>
  <c r="CM84" i="3" s="1"/>
  <c r="BN84" i="3"/>
  <c r="CJ84" i="3"/>
  <c r="BO35" i="3"/>
  <c r="BS35" i="3"/>
  <c r="BT35" i="3" s="1"/>
  <c r="BU35" i="3" s="1"/>
  <c r="BV35" i="3" s="1"/>
  <c r="BN35" i="3"/>
  <c r="BW35" i="3"/>
  <c r="W35" i="3" s="1"/>
  <c r="CI35" i="3"/>
  <c r="CM35" i="3" s="1"/>
  <c r="CJ35" i="3"/>
  <c r="BN28" i="3"/>
  <c r="BW28" i="3"/>
  <c r="W28" i="3" s="1"/>
  <c r="CI28" i="3"/>
  <c r="CM28" i="3" s="1"/>
  <c r="CJ28" i="3"/>
  <c r="BO28" i="3"/>
  <c r="BS28" i="3"/>
  <c r="BT28" i="3" s="1"/>
  <c r="BU28" i="3" s="1"/>
  <c r="BV28" i="3" s="1"/>
  <c r="BO287" i="3"/>
  <c r="BS287" i="3"/>
  <c r="BT287" i="3" s="1"/>
  <c r="BU287" i="3" s="1"/>
  <c r="BV287" i="3" s="1"/>
  <c r="BW287" i="3"/>
  <c r="W287" i="3" s="1"/>
  <c r="CJ287" i="3"/>
  <c r="BN287" i="3"/>
  <c r="CI287" i="3"/>
  <c r="CM287" i="3" s="1"/>
  <c r="BO283" i="3"/>
  <c r="BS283" i="3"/>
  <c r="BT283" i="3" s="1"/>
  <c r="BU283" i="3" s="1"/>
  <c r="BV283" i="3" s="1"/>
  <c r="BW283" i="3"/>
  <c r="W283" i="3" s="1"/>
  <c r="CJ283" i="3"/>
  <c r="BN283" i="3"/>
  <c r="CI283" i="3"/>
  <c r="CM283" i="3" s="1"/>
  <c r="BN279" i="3"/>
  <c r="CI279" i="3"/>
  <c r="CM279" i="3" s="1"/>
  <c r="BO279" i="3"/>
  <c r="BS279" i="3"/>
  <c r="BW279" i="3"/>
  <c r="W279" i="3" s="1"/>
  <c r="CJ279" i="3"/>
  <c r="BN273" i="3"/>
  <c r="CI273" i="3"/>
  <c r="CM273" i="3" s="1"/>
  <c r="BO273" i="3"/>
  <c r="BS273" i="3"/>
  <c r="BT273" i="3" s="1"/>
  <c r="BU273" i="3" s="1"/>
  <c r="BV273" i="3" s="1"/>
  <c r="BW273" i="3"/>
  <c r="W273" i="3" s="1"/>
  <c r="CJ273" i="3"/>
  <c r="BN26" i="3"/>
  <c r="BW26" i="3"/>
  <c r="W26" i="3" s="1"/>
  <c r="CI26" i="3"/>
  <c r="CM26" i="3" s="1"/>
  <c r="CJ26" i="3"/>
  <c r="BO26" i="3"/>
  <c r="BS26" i="3"/>
  <c r="BT26" i="3" s="1"/>
  <c r="BU26" i="3" s="1"/>
  <c r="BV26" i="3" s="1"/>
  <c r="BO12" i="3"/>
  <c r="BS12" i="3"/>
  <c r="BW12" i="3"/>
  <c r="W12" i="3" s="1"/>
  <c r="CI12" i="3"/>
  <c r="CM12" i="3" s="1"/>
  <c r="CJ12" i="3"/>
  <c r="BN12" i="3"/>
  <c r="BN251" i="3"/>
  <c r="CI251" i="3"/>
  <c r="CM251" i="3" s="1"/>
  <c r="BO251" i="3"/>
  <c r="BS251" i="3"/>
  <c r="BT251" i="3" s="1"/>
  <c r="BU251" i="3" s="1"/>
  <c r="BV251" i="3" s="1"/>
  <c r="BW251" i="3"/>
  <c r="W251" i="3" s="1"/>
  <c r="CJ251" i="3"/>
  <c r="BN245" i="3"/>
  <c r="CI245" i="3"/>
  <c r="CM245" i="3" s="1"/>
  <c r="BO245" i="3"/>
  <c r="BS245" i="3"/>
  <c r="BT245" i="3" s="1"/>
  <c r="BU245" i="3" s="1"/>
  <c r="BV245" i="3" s="1"/>
  <c r="BW245" i="3"/>
  <c r="W245" i="3" s="1"/>
  <c r="CJ245" i="3"/>
  <c r="BN241" i="3"/>
  <c r="CI241" i="3"/>
  <c r="CM241" i="3" s="1"/>
  <c r="BO241" i="3"/>
  <c r="BS241" i="3"/>
  <c r="BW241" i="3"/>
  <c r="W241" i="3" s="1"/>
  <c r="CJ241" i="3"/>
  <c r="BN237" i="3"/>
  <c r="CI237" i="3"/>
  <c r="CM237" i="3" s="1"/>
  <c r="BO237" i="3"/>
  <c r="BS237" i="3"/>
  <c r="BT237" i="3" s="1"/>
  <c r="BU237" i="3" s="1"/>
  <c r="BV237" i="3" s="1"/>
  <c r="BW237" i="3"/>
  <c r="W237" i="3" s="1"/>
  <c r="CJ237" i="3"/>
  <c r="BN230" i="3"/>
  <c r="CI230" i="3"/>
  <c r="CM230" i="3" s="1"/>
  <c r="BO230" i="3"/>
  <c r="BS230" i="3"/>
  <c r="BT230" i="3" s="1"/>
  <c r="BU230" i="3" s="1"/>
  <c r="BV230" i="3" s="1"/>
  <c r="BW230" i="3"/>
  <c r="W230" i="3" s="1"/>
  <c r="CJ230" i="3"/>
  <c r="BO228" i="3"/>
  <c r="BS228" i="3"/>
  <c r="BT228" i="3" s="1"/>
  <c r="BU228" i="3" s="1"/>
  <c r="BV228" i="3" s="1"/>
  <c r="BW228" i="3"/>
  <c r="W228" i="3" s="1"/>
  <c r="CJ228" i="3"/>
  <c r="BN228" i="3"/>
  <c r="CI228" i="3"/>
  <c r="CM228" i="3" s="1"/>
  <c r="BO224" i="3"/>
  <c r="BS224" i="3"/>
  <c r="BT224" i="3" s="1"/>
  <c r="BU224" i="3" s="1"/>
  <c r="BV224" i="3" s="1"/>
  <c r="BW224" i="3"/>
  <c r="W224" i="3" s="1"/>
  <c r="CJ224" i="3"/>
  <c r="BN224" i="3"/>
  <c r="CI224" i="3"/>
  <c r="CM224" i="3" s="1"/>
  <c r="BO121" i="3"/>
  <c r="BS121" i="3"/>
  <c r="BT121" i="3" s="1"/>
  <c r="BU121" i="3" s="1"/>
  <c r="BV121" i="3" s="1"/>
  <c r="BW121" i="3"/>
  <c r="W121" i="3" s="1"/>
  <c r="CI121" i="3"/>
  <c r="CM121" i="3" s="1"/>
  <c r="BN121" i="3"/>
  <c r="CJ121" i="3"/>
  <c r="BN117" i="3"/>
  <c r="BW117" i="3"/>
  <c r="W117" i="3" s="1"/>
  <c r="CJ117" i="3"/>
  <c r="BO117" i="3"/>
  <c r="BS117" i="3"/>
  <c r="BT117" i="3" s="1"/>
  <c r="BU117" i="3" s="1"/>
  <c r="BV117" i="3" s="1"/>
  <c r="CI117" i="3"/>
  <c r="CM117" i="3" s="1"/>
  <c r="BN113" i="3"/>
  <c r="CI113" i="3"/>
  <c r="CM113" i="3" s="1"/>
  <c r="BO113" i="3"/>
  <c r="BP113" i="3" s="1"/>
  <c r="BQ113" i="3" s="1"/>
  <c r="BR113" i="3" s="1"/>
  <c r="BS113" i="3"/>
  <c r="BW113" i="3"/>
  <c r="W113" i="3" s="1"/>
  <c r="CJ113" i="3"/>
  <c r="BN109" i="3"/>
  <c r="CI109" i="3"/>
  <c r="CM109" i="3" s="1"/>
  <c r="BO109" i="3"/>
  <c r="BS109" i="3"/>
  <c r="BT109" i="3" s="1"/>
  <c r="BU109" i="3" s="1"/>
  <c r="BV109" i="3" s="1"/>
  <c r="BW109" i="3"/>
  <c r="W109" i="3" s="1"/>
  <c r="CJ109" i="3"/>
  <c r="BN105" i="3"/>
  <c r="CI105" i="3"/>
  <c r="CM105" i="3" s="1"/>
  <c r="BO105" i="3"/>
  <c r="BS105" i="3"/>
  <c r="BT105" i="3" s="1"/>
  <c r="BU105" i="3" s="1"/>
  <c r="BV105" i="3" s="1"/>
  <c r="BW105" i="3"/>
  <c r="W105" i="3" s="1"/>
  <c r="CJ105" i="3"/>
  <c r="BN101" i="3"/>
  <c r="CI101" i="3"/>
  <c r="CM101" i="3" s="1"/>
  <c r="BO101" i="3"/>
  <c r="BS101" i="3"/>
  <c r="BT101" i="3" s="1"/>
  <c r="BU101" i="3" s="1"/>
  <c r="BV101" i="3" s="1"/>
  <c r="BW101" i="3"/>
  <c r="W101" i="3" s="1"/>
  <c r="CJ101" i="3"/>
  <c r="BO97" i="3"/>
  <c r="BS97" i="3"/>
  <c r="BN97" i="3"/>
  <c r="CI97" i="3"/>
  <c r="CM97" i="3" s="1"/>
  <c r="BW97" i="3"/>
  <c r="W97" i="3" s="1"/>
  <c r="CJ97" i="3"/>
  <c r="BO93" i="3"/>
  <c r="BS93" i="3"/>
  <c r="BT93" i="3" s="1"/>
  <c r="BU93" i="3" s="1"/>
  <c r="BV93" i="3" s="1"/>
  <c r="CI93" i="3"/>
  <c r="CM93" i="3" s="1"/>
  <c r="BN93" i="3"/>
  <c r="BW93" i="3"/>
  <c r="W93" i="3" s="1"/>
  <c r="CJ93" i="3"/>
  <c r="BO89" i="3"/>
  <c r="BS89" i="3"/>
  <c r="BT89" i="3" s="1"/>
  <c r="BU89" i="3" s="1"/>
  <c r="BV89" i="3" s="1"/>
  <c r="CI89" i="3"/>
  <c r="CM89" i="3" s="1"/>
  <c r="BN89" i="3"/>
  <c r="BW89" i="3"/>
  <c r="W89" i="3" s="1"/>
  <c r="CJ89" i="3"/>
  <c r="BN233" i="3"/>
  <c r="CI233" i="3"/>
  <c r="CM233" i="3" s="1"/>
  <c r="BO233" i="3"/>
  <c r="BS233" i="3"/>
  <c r="BT233" i="3" s="1"/>
  <c r="BU233" i="3" s="1"/>
  <c r="BV233" i="3" s="1"/>
  <c r="BW233" i="3"/>
  <c r="W233" i="3" s="1"/>
  <c r="CJ233" i="3"/>
  <c r="BO138" i="3"/>
  <c r="BS138" i="3"/>
  <c r="BT138" i="3" s="1"/>
  <c r="BU138" i="3" s="1"/>
  <c r="BV138" i="3" s="1"/>
  <c r="BN138" i="3"/>
  <c r="BW138" i="3"/>
  <c r="W138" i="3" s="1"/>
  <c r="CI138" i="3"/>
  <c r="CM138" i="3" s="1"/>
  <c r="CJ138" i="3"/>
  <c r="BO134" i="3"/>
  <c r="BS134" i="3"/>
  <c r="BT134" i="3" s="1"/>
  <c r="BU134" i="3" s="1"/>
  <c r="BV134" i="3" s="1"/>
  <c r="BN134" i="3"/>
  <c r="BW134" i="3"/>
  <c r="W134" i="3" s="1"/>
  <c r="CI134" i="3"/>
  <c r="CM134" i="3" s="1"/>
  <c r="CJ134" i="3"/>
  <c r="BO130" i="3"/>
  <c r="BS130" i="3"/>
  <c r="BT130" i="3" s="1"/>
  <c r="BU130" i="3" s="1"/>
  <c r="BV130" i="3" s="1"/>
  <c r="BN130" i="3"/>
  <c r="BW130" i="3"/>
  <c r="W130" i="3" s="1"/>
  <c r="CI130" i="3"/>
  <c r="CM130" i="3" s="1"/>
  <c r="CJ130" i="3"/>
  <c r="BN126" i="3"/>
  <c r="BO126" i="3"/>
  <c r="BS126" i="3"/>
  <c r="BT126" i="3" s="1"/>
  <c r="BU126" i="3" s="1"/>
  <c r="BV126" i="3" s="1"/>
  <c r="BW126" i="3"/>
  <c r="W126" i="3" s="1"/>
  <c r="CI126" i="3"/>
  <c r="CM126" i="3" s="1"/>
  <c r="CJ126" i="3"/>
  <c r="BO7" i="3"/>
  <c r="BP7" i="3" s="1"/>
  <c r="BQ7" i="3" s="1"/>
  <c r="BR7" i="3" s="1"/>
  <c r="BN7" i="3"/>
  <c r="BS7" i="3"/>
  <c r="BW7" i="3"/>
  <c r="W7" i="3" s="1"/>
  <c r="CI7" i="3"/>
  <c r="CM7" i="3" s="1"/>
  <c r="CJ7" i="3"/>
  <c r="BN238" i="3"/>
  <c r="CI238" i="3"/>
  <c r="CM238" i="3" s="1"/>
  <c r="BO238" i="3"/>
  <c r="BS238" i="3"/>
  <c r="BW238" i="3"/>
  <c r="W238" i="3" s="1"/>
  <c r="CJ238" i="3"/>
  <c r="BN235" i="3"/>
  <c r="CI235" i="3"/>
  <c r="CM235" i="3" s="1"/>
  <c r="BO235" i="3"/>
  <c r="BS235" i="3"/>
  <c r="BT235" i="3" s="1"/>
  <c r="BU235" i="3" s="1"/>
  <c r="BV235" i="3" s="1"/>
  <c r="BW235" i="3"/>
  <c r="W235" i="3" s="1"/>
  <c r="CJ235" i="3"/>
  <c r="BO229" i="3"/>
  <c r="BS229" i="3"/>
  <c r="BN229" i="3"/>
  <c r="CI229" i="3"/>
  <c r="CM229" i="3" s="1"/>
  <c r="BW229" i="3"/>
  <c r="W229" i="3" s="1"/>
  <c r="CJ229" i="3"/>
  <c r="BO225" i="3"/>
  <c r="BS225" i="3"/>
  <c r="BW225" i="3"/>
  <c r="W225" i="3" s="1"/>
  <c r="CJ225" i="3"/>
  <c r="BN225" i="3"/>
  <c r="CI225" i="3"/>
  <c r="CM225" i="3" s="1"/>
  <c r="BO220" i="3"/>
  <c r="BS220" i="3"/>
  <c r="BT220" i="3" s="1"/>
  <c r="BU220" i="3" s="1"/>
  <c r="BV220" i="3" s="1"/>
  <c r="BW220" i="3"/>
  <c r="W220" i="3" s="1"/>
  <c r="CJ220" i="3"/>
  <c r="BN220" i="3"/>
  <c r="CI220" i="3"/>
  <c r="CM220" i="3" s="1"/>
  <c r="BO217" i="3"/>
  <c r="BS217" i="3"/>
  <c r="BW217" i="3"/>
  <c r="W217" i="3" s="1"/>
  <c r="CJ217" i="3"/>
  <c r="BN217" i="3"/>
  <c r="CI217" i="3"/>
  <c r="CM217" i="3" s="1"/>
  <c r="BO213" i="3"/>
  <c r="BS213" i="3"/>
  <c r="BT213" i="3" s="1"/>
  <c r="BU213" i="3" s="1"/>
  <c r="BV213" i="3" s="1"/>
  <c r="BW213" i="3"/>
  <c r="W213" i="3" s="1"/>
  <c r="CJ213" i="3"/>
  <c r="BN213" i="3"/>
  <c r="CI213" i="3"/>
  <c r="CM213" i="3" s="1"/>
  <c r="BO209" i="3"/>
  <c r="BS209" i="3"/>
  <c r="BT209" i="3" s="1"/>
  <c r="BU209" i="3" s="1"/>
  <c r="BV209" i="3" s="1"/>
  <c r="BW209" i="3"/>
  <c r="W209" i="3" s="1"/>
  <c r="CJ209" i="3"/>
  <c r="BN209" i="3"/>
  <c r="CI209" i="3"/>
  <c r="CM209" i="3" s="1"/>
  <c r="BN205" i="3"/>
  <c r="BS205" i="3"/>
  <c r="BO205" i="3"/>
  <c r="BW205" i="3"/>
  <c r="W205" i="3" s="1"/>
  <c r="CI205" i="3"/>
  <c r="CM205" i="3" s="1"/>
  <c r="CJ205" i="3"/>
  <c r="BO201" i="3"/>
  <c r="BW201" i="3"/>
  <c r="W201" i="3" s="1"/>
  <c r="CI201" i="3"/>
  <c r="CM201" i="3" s="1"/>
  <c r="CJ201" i="3"/>
  <c r="BN201" i="3"/>
  <c r="BS201" i="3"/>
  <c r="BN196" i="3"/>
  <c r="BS196" i="3"/>
  <c r="BO196" i="3"/>
  <c r="BW196" i="3"/>
  <c r="W196" i="3" s="1"/>
  <c r="CI196" i="3"/>
  <c r="CM196" i="3" s="1"/>
  <c r="CJ196" i="3"/>
  <c r="BN192" i="3"/>
  <c r="BS192" i="3"/>
  <c r="BO192" i="3"/>
  <c r="BW192" i="3"/>
  <c r="W192" i="3" s="1"/>
  <c r="CI192" i="3"/>
  <c r="CM192" i="3" s="1"/>
  <c r="CJ192" i="3"/>
  <c r="BN188" i="3"/>
  <c r="BS188" i="3"/>
  <c r="BO188" i="3"/>
  <c r="BW188" i="3"/>
  <c r="W188" i="3" s="1"/>
  <c r="CI188" i="3"/>
  <c r="CM188" i="3" s="1"/>
  <c r="CJ188" i="3"/>
  <c r="BN184" i="3"/>
  <c r="BS184" i="3"/>
  <c r="BO184" i="3"/>
  <c r="BW184" i="3"/>
  <c r="W184" i="3" s="1"/>
  <c r="CI184" i="3"/>
  <c r="CM184" i="3" s="1"/>
  <c r="CJ184" i="3"/>
  <c r="BO180" i="3"/>
  <c r="BS180" i="3"/>
  <c r="BW180" i="3"/>
  <c r="W180" i="3" s="1"/>
  <c r="CI180" i="3"/>
  <c r="CM180" i="3" s="1"/>
  <c r="CJ180" i="3"/>
  <c r="BN180" i="3"/>
  <c r="BN176" i="3"/>
  <c r="BW176" i="3"/>
  <c r="W176" i="3" s="1"/>
  <c r="CI176" i="3"/>
  <c r="CM176" i="3" s="1"/>
  <c r="CJ176" i="3"/>
  <c r="BO176" i="3"/>
  <c r="BS176" i="3"/>
  <c r="BT176" i="3" s="1"/>
  <c r="BU176" i="3" s="1"/>
  <c r="BV176" i="3" s="1"/>
  <c r="BN172" i="3"/>
  <c r="BW172" i="3"/>
  <c r="W172" i="3" s="1"/>
  <c r="CI172" i="3"/>
  <c r="CM172" i="3" s="1"/>
  <c r="CJ172" i="3"/>
  <c r="BO172" i="3"/>
  <c r="BS172" i="3"/>
  <c r="BT172" i="3" s="1"/>
  <c r="BU172" i="3" s="1"/>
  <c r="BV172" i="3" s="1"/>
  <c r="BN168" i="3"/>
  <c r="BO168" i="3"/>
  <c r="BS168" i="3"/>
  <c r="BW168" i="3"/>
  <c r="W168" i="3" s="1"/>
  <c r="CI168" i="3"/>
  <c r="CM168" i="3" s="1"/>
  <c r="CJ168" i="3"/>
  <c r="BO164" i="3"/>
  <c r="BS164" i="3"/>
  <c r="BW164" i="3"/>
  <c r="W164" i="3" s="1"/>
  <c r="CI164" i="3"/>
  <c r="CM164" i="3" s="1"/>
  <c r="CJ164" i="3"/>
  <c r="BN164" i="3"/>
  <c r="BO137" i="3"/>
  <c r="BS137" i="3"/>
  <c r="BT137" i="3" s="1"/>
  <c r="BU137" i="3" s="1"/>
  <c r="BV137" i="3" s="1"/>
  <c r="BN137" i="3"/>
  <c r="BW137" i="3"/>
  <c r="W137" i="3" s="1"/>
  <c r="CI137" i="3"/>
  <c r="CM137" i="3" s="1"/>
  <c r="CJ137" i="3"/>
  <c r="BO133" i="3"/>
  <c r="BS133" i="3"/>
  <c r="BT133" i="3" s="1"/>
  <c r="BU133" i="3" s="1"/>
  <c r="BV133" i="3" s="1"/>
  <c r="BN133" i="3"/>
  <c r="BW133" i="3"/>
  <c r="W133" i="3" s="1"/>
  <c r="CI133" i="3"/>
  <c r="CM133" i="3" s="1"/>
  <c r="CJ133" i="3"/>
  <c r="BO129" i="3"/>
  <c r="BP129" i="3" s="1"/>
  <c r="BQ129" i="3" s="1"/>
  <c r="BR129" i="3" s="1"/>
  <c r="BN129" i="3"/>
  <c r="BS129" i="3"/>
  <c r="BW129" i="3"/>
  <c r="W129" i="3" s="1"/>
  <c r="CI129" i="3"/>
  <c r="CM129" i="3" s="1"/>
  <c r="CJ129" i="3"/>
  <c r="BN122" i="3"/>
  <c r="CJ122" i="3"/>
  <c r="BO122" i="3"/>
  <c r="BS122" i="3"/>
  <c r="BT122" i="3" s="1"/>
  <c r="BU122" i="3" s="1"/>
  <c r="BV122" i="3" s="1"/>
  <c r="BW122" i="3"/>
  <c r="W122" i="3" s="1"/>
  <c r="CI122" i="3"/>
  <c r="CM122" i="3" s="1"/>
  <c r="BN114" i="3"/>
  <c r="BW114" i="3"/>
  <c r="W114" i="3" s="1"/>
  <c r="CJ114" i="3"/>
  <c r="BO114" i="3"/>
  <c r="BS114" i="3"/>
  <c r="BT114" i="3" s="1"/>
  <c r="BU114" i="3" s="1"/>
  <c r="BV114" i="3" s="1"/>
  <c r="CI114" i="3"/>
  <c r="CM114" i="3" s="1"/>
  <c r="BN102" i="3"/>
  <c r="CI102" i="3"/>
  <c r="CM102" i="3" s="1"/>
  <c r="BO102" i="3"/>
  <c r="BP102" i="3" s="1"/>
  <c r="BQ102" i="3" s="1"/>
  <c r="BR102" i="3" s="1"/>
  <c r="BS102" i="3"/>
  <c r="BW102" i="3"/>
  <c r="W102" i="3" s="1"/>
  <c r="CJ102" i="3"/>
  <c r="BO96" i="3"/>
  <c r="BS96" i="3"/>
  <c r="BT96" i="3" s="1"/>
  <c r="BU96" i="3" s="1"/>
  <c r="BV96" i="3" s="1"/>
  <c r="BW96" i="3"/>
  <c r="W96" i="3" s="1"/>
  <c r="CJ96" i="3"/>
  <c r="BN96" i="3"/>
  <c r="CI96" i="3"/>
  <c r="CM96" i="3" s="1"/>
  <c r="BO288" i="3"/>
  <c r="BP288" i="3" s="1"/>
  <c r="BQ288" i="3" s="1"/>
  <c r="BR288" i="3" s="1"/>
  <c r="BS288" i="3"/>
  <c r="BW288" i="3"/>
  <c r="W288" i="3" s="1"/>
  <c r="CJ288" i="3"/>
  <c r="BN288" i="3"/>
  <c r="CI288" i="3"/>
  <c r="CM288" i="3" s="1"/>
  <c r="BO284" i="3"/>
  <c r="BS284" i="3"/>
  <c r="BT284" i="3" s="1"/>
  <c r="BU284" i="3" s="1"/>
  <c r="BV284" i="3" s="1"/>
  <c r="BW284" i="3"/>
  <c r="W284" i="3" s="1"/>
  <c r="CJ284" i="3"/>
  <c r="BN284" i="3"/>
  <c r="CI284" i="3"/>
  <c r="CM284" i="3" s="1"/>
  <c r="BN274" i="3"/>
  <c r="CI274" i="3"/>
  <c r="CM274" i="3" s="1"/>
  <c r="BO274" i="3"/>
  <c r="BS274" i="3"/>
  <c r="BT274" i="3" s="1"/>
  <c r="BU274" i="3" s="1"/>
  <c r="BV274" i="3" s="1"/>
  <c r="BW274" i="3"/>
  <c r="W274" i="3" s="1"/>
  <c r="CJ274" i="3"/>
  <c r="BN264" i="3"/>
  <c r="CI264" i="3"/>
  <c r="CM264" i="3" s="1"/>
  <c r="BO264" i="3"/>
  <c r="BP264" i="3" s="1"/>
  <c r="BQ264" i="3" s="1"/>
  <c r="BR264" i="3" s="1"/>
  <c r="BS264" i="3"/>
  <c r="BW264" i="3"/>
  <c r="W264" i="3" s="1"/>
  <c r="CJ264" i="3"/>
  <c r="BN256" i="3"/>
  <c r="CI256" i="3"/>
  <c r="CM256" i="3" s="1"/>
  <c r="BO256" i="3"/>
  <c r="BS256" i="3"/>
  <c r="BT256" i="3" s="1"/>
  <c r="BU256" i="3" s="1"/>
  <c r="BV256" i="3" s="1"/>
  <c r="BW256" i="3"/>
  <c r="W256" i="3" s="1"/>
  <c r="CJ256" i="3"/>
  <c r="BN248" i="3"/>
  <c r="CI248" i="3"/>
  <c r="CM248" i="3" s="1"/>
  <c r="BO248" i="3"/>
  <c r="BS248" i="3"/>
  <c r="BW248" i="3"/>
  <c r="W248" i="3" s="1"/>
  <c r="CJ248" i="3"/>
  <c r="BO222" i="3"/>
  <c r="BS222" i="3"/>
  <c r="BT222" i="3" s="1"/>
  <c r="BU222" i="3" s="1"/>
  <c r="BV222" i="3" s="1"/>
  <c r="BW222" i="3"/>
  <c r="W222" i="3" s="1"/>
  <c r="CJ222" i="3"/>
  <c r="BN222" i="3"/>
  <c r="CI222" i="3"/>
  <c r="CM222" i="3" s="1"/>
  <c r="BO219" i="3"/>
  <c r="BS219" i="3"/>
  <c r="BT219" i="3" s="1"/>
  <c r="BU219" i="3" s="1"/>
  <c r="BV219" i="3" s="1"/>
  <c r="BW219" i="3"/>
  <c r="W219" i="3" s="1"/>
  <c r="CJ219" i="3"/>
  <c r="BN219" i="3"/>
  <c r="CI219" i="3"/>
  <c r="CM219" i="3" s="1"/>
  <c r="BO212" i="3"/>
  <c r="BS212" i="3"/>
  <c r="BT212" i="3" s="1"/>
  <c r="BU212" i="3" s="1"/>
  <c r="BV212" i="3" s="1"/>
  <c r="BW212" i="3"/>
  <c r="W212" i="3" s="1"/>
  <c r="CJ212" i="3"/>
  <c r="BN212" i="3"/>
  <c r="CI212" i="3"/>
  <c r="CM212" i="3" s="1"/>
  <c r="BO208" i="3"/>
  <c r="BS208" i="3"/>
  <c r="BW208" i="3"/>
  <c r="W208" i="3" s="1"/>
  <c r="CJ208" i="3"/>
  <c r="BN208" i="3"/>
  <c r="CI208" i="3"/>
  <c r="CM208" i="3" s="1"/>
  <c r="BO204" i="3"/>
  <c r="BW204" i="3"/>
  <c r="W204" i="3" s="1"/>
  <c r="CI204" i="3"/>
  <c r="CM204" i="3" s="1"/>
  <c r="CJ204" i="3"/>
  <c r="BN204" i="3"/>
  <c r="BS204" i="3"/>
  <c r="BN200" i="3"/>
  <c r="BS200" i="3"/>
  <c r="BO200" i="3"/>
  <c r="BW200" i="3"/>
  <c r="W200" i="3" s="1"/>
  <c r="CI200" i="3"/>
  <c r="CM200" i="3" s="1"/>
  <c r="CJ200" i="3"/>
  <c r="BO197" i="3"/>
  <c r="BW197" i="3"/>
  <c r="W197" i="3" s="1"/>
  <c r="CI197" i="3"/>
  <c r="CM197" i="3" s="1"/>
  <c r="CJ197" i="3"/>
  <c r="BN197" i="3"/>
  <c r="BS197" i="3"/>
  <c r="BO193" i="3"/>
  <c r="BW193" i="3"/>
  <c r="W193" i="3" s="1"/>
  <c r="CI193" i="3"/>
  <c r="CM193" i="3" s="1"/>
  <c r="CJ193" i="3"/>
  <c r="BN193" i="3"/>
  <c r="BS193" i="3"/>
  <c r="BO189" i="3"/>
  <c r="BW189" i="3"/>
  <c r="W189" i="3" s="1"/>
  <c r="CI189" i="3"/>
  <c r="CM189" i="3" s="1"/>
  <c r="CJ189" i="3"/>
  <c r="BN189" i="3"/>
  <c r="BS189" i="3"/>
  <c r="BO185" i="3"/>
  <c r="BW185" i="3"/>
  <c r="W185" i="3" s="1"/>
  <c r="CI185" i="3"/>
  <c r="CM185" i="3" s="1"/>
  <c r="CJ185" i="3"/>
  <c r="BN185" i="3"/>
  <c r="BS185" i="3"/>
  <c r="BN181" i="3"/>
  <c r="BS181" i="3"/>
  <c r="BW181" i="3"/>
  <c r="W181" i="3" s="1"/>
  <c r="CI181" i="3"/>
  <c r="CM181" i="3" s="1"/>
  <c r="CJ181" i="3"/>
  <c r="BO181" i="3"/>
  <c r="BP181" i="3" s="1"/>
  <c r="BQ181" i="3" s="1"/>
  <c r="BR181" i="3" s="1"/>
  <c r="BN177" i="3"/>
  <c r="BW177" i="3"/>
  <c r="W177" i="3" s="1"/>
  <c r="CI177" i="3"/>
  <c r="CM177" i="3" s="1"/>
  <c r="CJ177" i="3"/>
  <c r="BO177" i="3"/>
  <c r="BS177" i="3"/>
  <c r="BT177" i="3" s="1"/>
  <c r="BU177" i="3" s="1"/>
  <c r="BV177" i="3" s="1"/>
  <c r="BN173" i="3"/>
  <c r="BW173" i="3"/>
  <c r="W173" i="3" s="1"/>
  <c r="CI173" i="3"/>
  <c r="CM173" i="3" s="1"/>
  <c r="CJ173" i="3"/>
  <c r="BO173" i="3"/>
  <c r="BS173" i="3"/>
  <c r="BT173" i="3" s="1"/>
  <c r="BU173" i="3" s="1"/>
  <c r="BV173" i="3" s="1"/>
  <c r="BO169" i="3"/>
  <c r="BS169" i="3"/>
  <c r="BT169" i="3" s="1"/>
  <c r="BU169" i="3" s="1"/>
  <c r="BV169" i="3" s="1"/>
  <c r="BN169" i="3"/>
  <c r="BW169" i="3"/>
  <c r="W169" i="3" s="1"/>
  <c r="CI169" i="3"/>
  <c r="CM169" i="3" s="1"/>
  <c r="CJ169" i="3"/>
  <c r="BN165" i="3"/>
  <c r="BS165" i="3"/>
  <c r="BW165" i="3"/>
  <c r="W165" i="3" s="1"/>
  <c r="CI165" i="3"/>
  <c r="CM165" i="3" s="1"/>
  <c r="CJ165" i="3"/>
  <c r="BO165" i="3"/>
  <c r="BP165" i="3" s="1"/>
  <c r="BQ165" i="3" s="1"/>
  <c r="BR165" i="3" s="1"/>
  <c r="BN75" i="3"/>
  <c r="CI75" i="3"/>
  <c r="CM75" i="3" s="1"/>
  <c r="BO75" i="3"/>
  <c r="BS75" i="3"/>
  <c r="BW75" i="3"/>
  <c r="W75" i="3" s="1"/>
  <c r="CJ75" i="3"/>
  <c r="BN71" i="3"/>
  <c r="CI71" i="3"/>
  <c r="CM71" i="3" s="1"/>
  <c r="BO71" i="3"/>
  <c r="BS71" i="3"/>
  <c r="BW71" i="3"/>
  <c r="W71" i="3" s="1"/>
  <c r="CJ71" i="3"/>
  <c r="BN67" i="3"/>
  <c r="CI67" i="3"/>
  <c r="CM67" i="3" s="1"/>
  <c r="BO67" i="3"/>
  <c r="BP67" i="3" s="1"/>
  <c r="BQ67" i="3" s="1"/>
  <c r="BR67" i="3" s="1"/>
  <c r="BS67" i="3"/>
  <c r="BW67" i="3"/>
  <c r="W67" i="3" s="1"/>
  <c r="CJ67" i="3"/>
  <c r="BO6" i="3"/>
  <c r="BS6" i="3"/>
  <c r="BT6" i="3" s="1"/>
  <c r="BU6" i="3" s="1"/>
  <c r="BV6" i="3" s="1"/>
  <c r="BN6" i="3"/>
  <c r="BW6" i="3"/>
  <c r="W6" i="3" s="1"/>
  <c r="CI6" i="3"/>
  <c r="CM6" i="3" s="1"/>
  <c r="CJ6" i="3"/>
  <c r="BO282" i="3"/>
  <c r="BS282" i="3"/>
  <c r="BT282" i="3" s="1"/>
  <c r="BU282" i="3" s="1"/>
  <c r="BV282" i="3" s="1"/>
  <c r="BW282" i="3"/>
  <c r="W282" i="3" s="1"/>
  <c r="CJ282" i="3"/>
  <c r="BN282" i="3"/>
  <c r="CI282" i="3"/>
  <c r="CM282" i="3" s="1"/>
  <c r="BN261" i="3"/>
  <c r="CI261" i="3"/>
  <c r="CM261" i="3" s="1"/>
  <c r="BO261" i="3"/>
  <c r="BP261" i="3" s="1"/>
  <c r="BQ261" i="3" s="1"/>
  <c r="BR261" i="3" s="1"/>
  <c r="BS261" i="3"/>
  <c r="BW261" i="3"/>
  <c r="W261" i="3" s="1"/>
  <c r="CJ261" i="3"/>
  <c r="BN257" i="3"/>
  <c r="CI257" i="3"/>
  <c r="CM257" i="3" s="1"/>
  <c r="BO257" i="3"/>
  <c r="BP257" i="3" s="1"/>
  <c r="BQ257" i="3" s="1"/>
  <c r="BR257" i="3" s="1"/>
  <c r="BS257" i="3"/>
  <c r="BW257" i="3"/>
  <c r="W257" i="3" s="1"/>
  <c r="CJ257" i="3"/>
  <c r="BN253" i="3"/>
  <c r="CI253" i="3"/>
  <c r="CM253" i="3" s="1"/>
  <c r="BO253" i="3"/>
  <c r="BS253" i="3"/>
  <c r="BW253" i="3"/>
  <c r="W253" i="3" s="1"/>
  <c r="CJ253" i="3"/>
  <c r="BN249" i="3"/>
  <c r="CI249" i="3"/>
  <c r="CM249" i="3" s="1"/>
  <c r="BO249" i="3"/>
  <c r="BS249" i="3"/>
  <c r="BW249" i="3"/>
  <c r="W249" i="3" s="1"/>
  <c r="CJ249" i="3"/>
  <c r="BN232" i="3"/>
  <c r="CI232" i="3"/>
  <c r="CM232" i="3" s="1"/>
  <c r="BO232" i="3"/>
  <c r="BS232" i="3"/>
  <c r="BW232" i="3"/>
  <c r="W232" i="3" s="1"/>
  <c r="CJ232" i="3"/>
  <c r="BO162" i="3"/>
  <c r="BS162" i="3"/>
  <c r="BT162" i="3" s="1"/>
  <c r="BU162" i="3" s="1"/>
  <c r="BV162" i="3" s="1"/>
  <c r="BN162" i="3"/>
  <c r="BW162" i="3"/>
  <c r="W162" i="3" s="1"/>
  <c r="CI162" i="3"/>
  <c r="CM162" i="3" s="1"/>
  <c r="CJ162" i="3"/>
  <c r="BO160" i="3"/>
  <c r="BS160" i="3"/>
  <c r="BT160" i="3" s="1"/>
  <c r="BU160" i="3" s="1"/>
  <c r="BV160" i="3" s="1"/>
  <c r="BN160" i="3"/>
  <c r="BW160" i="3"/>
  <c r="W160" i="3" s="1"/>
  <c r="CI160" i="3"/>
  <c r="CM160" i="3" s="1"/>
  <c r="CJ160" i="3"/>
  <c r="BO158" i="3"/>
  <c r="BS158" i="3"/>
  <c r="BT158" i="3" s="1"/>
  <c r="BU158" i="3" s="1"/>
  <c r="BV158" i="3" s="1"/>
  <c r="BN158" i="3"/>
  <c r="BW158" i="3"/>
  <c r="W158" i="3" s="1"/>
  <c r="CI158" i="3"/>
  <c r="CM158" i="3" s="1"/>
  <c r="CJ158" i="3"/>
  <c r="BO156" i="3"/>
  <c r="BP156" i="3" s="1"/>
  <c r="BQ156" i="3" s="1"/>
  <c r="BR156" i="3" s="1"/>
  <c r="BN156" i="3"/>
  <c r="BS156" i="3"/>
  <c r="BW156" i="3"/>
  <c r="W156" i="3" s="1"/>
  <c r="CI156" i="3"/>
  <c r="CM156" i="3" s="1"/>
  <c r="CJ156" i="3"/>
  <c r="BO154" i="3"/>
  <c r="BS154" i="3"/>
  <c r="BT154" i="3" s="1"/>
  <c r="BU154" i="3" s="1"/>
  <c r="BV154" i="3" s="1"/>
  <c r="BN154" i="3"/>
  <c r="BW154" i="3"/>
  <c r="W154" i="3" s="1"/>
  <c r="CI154" i="3"/>
  <c r="CM154" i="3" s="1"/>
  <c r="CJ154" i="3"/>
  <c r="BO152" i="3"/>
  <c r="BS152" i="3"/>
  <c r="BT152" i="3" s="1"/>
  <c r="BU152" i="3" s="1"/>
  <c r="BV152" i="3" s="1"/>
  <c r="BN152" i="3"/>
  <c r="BW152" i="3"/>
  <c r="W152" i="3" s="1"/>
  <c r="CI152" i="3"/>
  <c r="CM152" i="3" s="1"/>
  <c r="CJ152" i="3"/>
  <c r="BN150" i="3"/>
  <c r="BO150" i="3"/>
  <c r="BS150" i="3"/>
  <c r="BW150" i="3"/>
  <c r="W150" i="3" s="1"/>
  <c r="CI150" i="3"/>
  <c r="CM150" i="3" s="1"/>
  <c r="CJ150" i="3"/>
  <c r="BN148" i="3"/>
  <c r="BS148" i="3"/>
  <c r="BW148" i="3"/>
  <c r="W148" i="3" s="1"/>
  <c r="CI148" i="3"/>
  <c r="CM148" i="3" s="1"/>
  <c r="CJ148" i="3"/>
  <c r="BO148" i="3"/>
  <c r="BP148" i="3" s="1"/>
  <c r="BQ148" i="3" s="1"/>
  <c r="BR148" i="3" s="1"/>
  <c r="BN146" i="3"/>
  <c r="BS146" i="3"/>
  <c r="BW146" i="3"/>
  <c r="W146" i="3" s="1"/>
  <c r="CI146" i="3"/>
  <c r="CM146" i="3" s="1"/>
  <c r="CJ146" i="3"/>
  <c r="BO146" i="3"/>
  <c r="BP146" i="3" s="1"/>
  <c r="BQ146" i="3" s="1"/>
  <c r="BR146" i="3" s="1"/>
  <c r="BN144" i="3"/>
  <c r="BW144" i="3"/>
  <c r="W144" i="3" s="1"/>
  <c r="CI144" i="3"/>
  <c r="CM144" i="3" s="1"/>
  <c r="CJ144" i="3"/>
  <c r="BO144" i="3"/>
  <c r="BS144" i="3"/>
  <c r="BT144" i="3" s="1"/>
  <c r="BU144" i="3" s="1"/>
  <c r="BV144" i="3" s="1"/>
  <c r="BO142" i="3"/>
  <c r="BS142" i="3"/>
  <c r="BW142" i="3"/>
  <c r="W142" i="3" s="1"/>
  <c r="CI142" i="3"/>
  <c r="CM142" i="3" s="1"/>
  <c r="CJ142" i="3"/>
  <c r="BN142" i="3"/>
  <c r="BO64" i="3"/>
  <c r="BS64" i="3"/>
  <c r="BT64" i="3" s="1"/>
  <c r="BU64" i="3" s="1"/>
  <c r="BV64" i="3" s="1"/>
  <c r="BW64" i="3"/>
  <c r="W64" i="3" s="1"/>
  <c r="CJ64" i="3"/>
  <c r="BN64" i="3"/>
  <c r="CI64" i="3"/>
  <c r="CM64" i="3" s="1"/>
  <c r="BO62" i="3"/>
  <c r="BS62" i="3"/>
  <c r="BW62" i="3"/>
  <c r="W62" i="3" s="1"/>
  <c r="CJ62" i="3"/>
  <c r="BN62" i="3"/>
  <c r="CI62" i="3"/>
  <c r="CM62" i="3" s="1"/>
  <c r="BO60" i="3"/>
  <c r="BS60" i="3"/>
  <c r="BW60" i="3"/>
  <c r="W60" i="3" s="1"/>
  <c r="CI60" i="3"/>
  <c r="CM60" i="3" s="1"/>
  <c r="CJ60" i="3"/>
  <c r="BN60" i="3"/>
  <c r="BO58" i="3"/>
  <c r="BS58" i="3"/>
  <c r="BW58" i="3"/>
  <c r="W58" i="3" s="1"/>
  <c r="CI58" i="3"/>
  <c r="CM58" i="3" s="1"/>
  <c r="CJ58" i="3"/>
  <c r="BN58" i="3"/>
  <c r="BO56" i="3"/>
  <c r="BS56" i="3"/>
  <c r="BW56" i="3"/>
  <c r="W56" i="3" s="1"/>
  <c r="CI56" i="3"/>
  <c r="CM56" i="3" s="1"/>
  <c r="CJ56" i="3"/>
  <c r="BN56" i="3"/>
  <c r="BO54" i="3"/>
  <c r="BS54" i="3"/>
  <c r="BW54" i="3"/>
  <c r="W54" i="3" s="1"/>
  <c r="CI54" i="3"/>
  <c r="CM54" i="3" s="1"/>
  <c r="CJ54" i="3"/>
  <c r="BN54" i="3"/>
  <c r="BN50" i="3"/>
  <c r="BW50" i="3"/>
  <c r="W50" i="3" s="1"/>
  <c r="CI50" i="3"/>
  <c r="CM50" i="3" s="1"/>
  <c r="CJ50" i="3"/>
  <c r="BO50" i="3"/>
  <c r="BS50" i="3"/>
  <c r="BT50" i="3" s="1"/>
  <c r="BU50" i="3" s="1"/>
  <c r="BV50" i="3" s="1"/>
  <c r="BO48" i="3"/>
  <c r="BS48" i="3"/>
  <c r="BW48" i="3"/>
  <c r="W48" i="3" s="1"/>
  <c r="CI48" i="3"/>
  <c r="CM48" i="3" s="1"/>
  <c r="CJ48" i="3"/>
  <c r="BN48" i="3"/>
  <c r="BO46" i="3"/>
  <c r="BS46" i="3"/>
  <c r="BW46" i="3"/>
  <c r="W46" i="3" s="1"/>
  <c r="CI46" i="3"/>
  <c r="CM46" i="3" s="1"/>
  <c r="CJ46" i="3"/>
  <c r="BN46" i="3"/>
  <c r="BO44" i="3"/>
  <c r="BS44" i="3"/>
  <c r="BW44" i="3"/>
  <c r="W44" i="3" s="1"/>
  <c r="CI44" i="3"/>
  <c r="CM44" i="3" s="1"/>
  <c r="CJ44" i="3"/>
  <c r="BN44" i="3"/>
  <c r="BO41" i="3"/>
  <c r="BS41" i="3"/>
  <c r="BW41" i="3"/>
  <c r="W41" i="3" s="1"/>
  <c r="CI41" i="3"/>
  <c r="CM41" i="3" s="1"/>
  <c r="CJ41" i="3"/>
  <c r="BN41" i="3"/>
  <c r="BO39" i="3"/>
  <c r="BS39" i="3"/>
  <c r="BW39" i="3"/>
  <c r="W39" i="3" s="1"/>
  <c r="CI39" i="3"/>
  <c r="CM39" i="3" s="1"/>
  <c r="CJ39" i="3"/>
  <c r="BN39" i="3"/>
  <c r="BO37" i="3"/>
  <c r="BS37" i="3"/>
  <c r="BW37" i="3"/>
  <c r="W37" i="3" s="1"/>
  <c r="CI37" i="3"/>
  <c r="CM37" i="3" s="1"/>
  <c r="CJ37" i="3"/>
  <c r="BN37" i="3"/>
  <c r="BO24" i="3"/>
  <c r="BS24" i="3"/>
  <c r="BT24" i="3" s="1"/>
  <c r="BU24" i="3" s="1"/>
  <c r="BV24" i="3" s="1"/>
  <c r="BN24" i="3"/>
  <c r="BW24" i="3"/>
  <c r="W24" i="3" s="1"/>
  <c r="CI24" i="3"/>
  <c r="CM24" i="3" s="1"/>
  <c r="CJ24" i="3"/>
  <c r="BN22" i="3"/>
  <c r="CI22" i="3"/>
  <c r="CM22" i="3" s="1"/>
  <c r="BO22" i="3"/>
  <c r="BS22" i="3"/>
  <c r="BW22" i="3"/>
  <c r="W22" i="3" s="1"/>
  <c r="CJ22" i="3"/>
  <c r="BO20" i="3"/>
  <c r="BN20" i="3"/>
  <c r="CI20" i="3"/>
  <c r="CM20" i="3" s="1"/>
  <c r="BS20" i="3"/>
  <c r="BW20" i="3"/>
  <c r="W20" i="3" s="1"/>
  <c r="CJ20" i="3"/>
  <c r="BN49" i="3"/>
  <c r="BW49" i="3"/>
  <c r="W49" i="3" s="1"/>
  <c r="CI49" i="3"/>
  <c r="CM49" i="3" s="1"/>
  <c r="CJ49" i="3"/>
  <c r="BO49" i="3"/>
  <c r="BS49" i="3"/>
  <c r="BT49" i="3" s="1"/>
  <c r="BU49" i="3" s="1"/>
  <c r="BV49" i="3" s="1"/>
  <c r="BN43" i="3"/>
  <c r="BO43" i="3"/>
  <c r="BS43" i="3"/>
  <c r="BW43" i="3"/>
  <c r="W43" i="3" s="1"/>
  <c r="CI43" i="3"/>
  <c r="CM43" i="3" s="1"/>
  <c r="CJ43" i="3"/>
  <c r="BO40" i="3"/>
  <c r="BS40" i="3"/>
  <c r="BW40" i="3"/>
  <c r="W40" i="3" s="1"/>
  <c r="CI40" i="3"/>
  <c r="CM40" i="3" s="1"/>
  <c r="CJ40" i="3"/>
  <c r="BN40" i="3"/>
  <c r="BO25" i="3"/>
  <c r="BS25" i="3"/>
  <c r="BW25" i="3"/>
  <c r="W25" i="3" s="1"/>
  <c r="CI25" i="3"/>
  <c r="CM25" i="3" s="1"/>
  <c r="CJ25" i="3"/>
  <c r="BN25" i="3"/>
  <c r="BO21" i="3"/>
  <c r="BS21" i="3"/>
  <c r="BW21" i="3"/>
  <c r="W21" i="3" s="1"/>
  <c r="CI21" i="3"/>
  <c r="CM21" i="3" s="1"/>
  <c r="BN21" i="3"/>
  <c r="CJ21" i="3"/>
  <c r="BN259" i="3"/>
  <c r="CI259" i="3"/>
  <c r="CM259" i="3" s="1"/>
  <c r="BO259" i="3"/>
  <c r="BP259" i="3" s="1"/>
  <c r="BQ259" i="3" s="1"/>
  <c r="BR259" i="3" s="1"/>
  <c r="BS259" i="3"/>
  <c r="BW259" i="3"/>
  <c r="W259" i="3" s="1"/>
  <c r="CJ259" i="3"/>
  <c r="BO141" i="3"/>
  <c r="BS141" i="3"/>
  <c r="BT141" i="3" s="1"/>
  <c r="BU141" i="3" s="1"/>
  <c r="BV141" i="3" s="1"/>
  <c r="BN141" i="3"/>
  <c r="BW141" i="3"/>
  <c r="W141" i="3" s="1"/>
  <c r="CI141" i="3"/>
  <c r="CM141" i="3" s="1"/>
  <c r="CJ141" i="3"/>
  <c r="BP170" i="3"/>
  <c r="BQ170" i="3"/>
  <c r="BR170" i="3" s="1"/>
  <c r="AD14" i="3"/>
  <c r="BO131" i="3"/>
  <c r="BP131" i="3" s="1"/>
  <c r="BQ131" i="3" s="1"/>
  <c r="BR131" i="3" s="1"/>
  <c r="BN131" i="3"/>
  <c r="BS131" i="3"/>
  <c r="BW131" i="3"/>
  <c r="W131" i="3" s="1"/>
  <c r="CI131" i="3"/>
  <c r="CM131" i="3" s="1"/>
  <c r="CJ131" i="3"/>
  <c r="BO94" i="3"/>
  <c r="BS94" i="3"/>
  <c r="BT94" i="3" s="1"/>
  <c r="BU94" i="3" s="1"/>
  <c r="BV94" i="3" s="1"/>
  <c r="BW94" i="3"/>
  <c r="W94" i="3" s="1"/>
  <c r="CJ94" i="3"/>
  <c r="BN94" i="3"/>
  <c r="CI94" i="3"/>
  <c r="CM94" i="3" s="1"/>
  <c r="BN104" i="3"/>
  <c r="CI104" i="3"/>
  <c r="CM104" i="3" s="1"/>
  <c r="BO104" i="3"/>
  <c r="BP104" i="3" s="1"/>
  <c r="BQ104" i="3" s="1"/>
  <c r="BR104" i="3" s="1"/>
  <c r="BS104" i="3"/>
  <c r="BW104" i="3"/>
  <c r="W104" i="3" s="1"/>
  <c r="CJ104" i="3"/>
  <c r="BN81" i="3"/>
  <c r="CI81" i="3"/>
  <c r="CM81" i="3" s="1"/>
  <c r="BO81" i="3"/>
  <c r="BP81" i="3" s="1"/>
  <c r="BQ81" i="3" s="1"/>
  <c r="BR81" i="3" s="1"/>
  <c r="BS81" i="3"/>
  <c r="BW81" i="3"/>
  <c r="W81" i="3" s="1"/>
  <c r="CJ81" i="3"/>
  <c r="BN278" i="3"/>
  <c r="CI278" i="3"/>
  <c r="CM278" i="3" s="1"/>
  <c r="BO278" i="3"/>
  <c r="BS278" i="3"/>
  <c r="BT278" i="3" s="1"/>
  <c r="BU278" i="3" s="1"/>
  <c r="BV278" i="3" s="1"/>
  <c r="BW278" i="3"/>
  <c r="W278" i="3" s="1"/>
  <c r="CJ278" i="3"/>
  <c r="BN31" i="3"/>
  <c r="BW31" i="3"/>
  <c r="W31" i="3" s="1"/>
  <c r="CI31" i="3"/>
  <c r="CM31" i="3" s="1"/>
  <c r="CJ31" i="3"/>
  <c r="BO31" i="3"/>
  <c r="BS31" i="3"/>
  <c r="BT31" i="3" s="1"/>
  <c r="BU31" i="3" s="1"/>
  <c r="BV31" i="3" s="1"/>
  <c r="BN118" i="3"/>
  <c r="CI118" i="3"/>
  <c r="CM118" i="3" s="1"/>
  <c r="BO118" i="3"/>
  <c r="BP118" i="3" s="1"/>
  <c r="BQ118" i="3" s="1"/>
  <c r="BR118" i="3" s="1"/>
  <c r="BS118" i="3"/>
  <c r="BW118" i="3"/>
  <c r="W118" i="3" s="1"/>
  <c r="CJ118" i="3"/>
  <c r="BN106" i="3"/>
  <c r="CI106" i="3"/>
  <c r="CM106" i="3" s="1"/>
  <c r="BO106" i="3"/>
  <c r="BS106" i="3"/>
  <c r="BT106" i="3" s="1"/>
  <c r="BU106" i="3" s="1"/>
  <c r="BV106" i="3" s="1"/>
  <c r="BW106" i="3"/>
  <c r="W106" i="3" s="1"/>
  <c r="CJ106" i="3"/>
  <c r="BN276" i="3"/>
  <c r="CI276" i="3"/>
  <c r="CM276" i="3" s="1"/>
  <c r="BO276" i="3"/>
  <c r="BS276" i="3"/>
  <c r="BW276" i="3"/>
  <c r="W276" i="3" s="1"/>
  <c r="CJ276" i="3"/>
  <c r="BN108" i="3"/>
  <c r="CI108" i="3"/>
  <c r="CM108" i="3" s="1"/>
  <c r="BO108" i="3"/>
  <c r="BS108" i="3"/>
  <c r="BT108" i="3" s="1"/>
  <c r="BU108" i="3" s="1"/>
  <c r="BV108" i="3" s="1"/>
  <c r="BW108" i="3"/>
  <c r="W108" i="3" s="1"/>
  <c r="CJ108" i="3"/>
  <c r="BO92" i="3"/>
  <c r="BP92" i="3" s="1"/>
  <c r="BQ92" i="3" s="1"/>
  <c r="BR92" i="3" s="1"/>
  <c r="CI92" i="3"/>
  <c r="CM92" i="3" s="1"/>
  <c r="BN92" i="3"/>
  <c r="BS92" i="3"/>
  <c r="BW92" i="3"/>
  <c r="W92" i="3" s="1"/>
  <c r="CJ92" i="3"/>
  <c r="BN85" i="3"/>
  <c r="CJ85" i="3"/>
  <c r="BO85" i="3"/>
  <c r="BS85" i="3"/>
  <c r="BT85" i="3" s="1"/>
  <c r="BU85" i="3" s="1"/>
  <c r="BV85" i="3" s="1"/>
  <c r="BW85" i="3"/>
  <c r="W85" i="3" s="1"/>
  <c r="CI85" i="3"/>
  <c r="CM85" i="3" s="1"/>
  <c r="BN77" i="3"/>
  <c r="CI77" i="3"/>
  <c r="CM77" i="3" s="1"/>
  <c r="BO77" i="3"/>
  <c r="BS77" i="3"/>
  <c r="BW77" i="3"/>
  <c r="W77" i="3" s="1"/>
  <c r="CJ77" i="3"/>
  <c r="BN269" i="3"/>
  <c r="CI269" i="3"/>
  <c r="CM269" i="3" s="1"/>
  <c r="BO269" i="3"/>
  <c r="BS269" i="3"/>
  <c r="BW269" i="3"/>
  <c r="W269" i="3" s="1"/>
  <c r="CJ269" i="3"/>
  <c r="BO290" i="3"/>
  <c r="BS290" i="3"/>
  <c r="BW290" i="3"/>
  <c r="W290" i="3" s="1"/>
  <c r="CJ290" i="3"/>
  <c r="BN290" i="3"/>
  <c r="CI290" i="3"/>
  <c r="CM290" i="3" s="1"/>
  <c r="BO36" i="3"/>
  <c r="BS36" i="3"/>
  <c r="BW36" i="3"/>
  <c r="W36" i="3" s="1"/>
  <c r="CI36" i="3"/>
  <c r="CM36" i="3" s="1"/>
  <c r="CJ36" i="3"/>
  <c r="BN36" i="3"/>
  <c r="BN32" i="3"/>
  <c r="BW32" i="3"/>
  <c r="W32" i="3" s="1"/>
  <c r="CI32" i="3"/>
  <c r="CM32" i="3" s="1"/>
  <c r="CJ32" i="3"/>
  <c r="BO32" i="3"/>
  <c r="BS32" i="3"/>
  <c r="BT32" i="3" s="1"/>
  <c r="BU32" i="3" s="1"/>
  <c r="BV32" i="3" s="1"/>
  <c r="BN27" i="3"/>
  <c r="BS27" i="3"/>
  <c r="BW27" i="3"/>
  <c r="W27" i="3" s="1"/>
  <c r="CI27" i="3"/>
  <c r="CM27" i="3" s="1"/>
  <c r="CJ27" i="3"/>
  <c r="BO27" i="3"/>
  <c r="BP27" i="3" s="1"/>
  <c r="BQ27" i="3" s="1"/>
  <c r="BR27" i="3" s="1"/>
  <c r="BN124" i="3"/>
  <c r="CJ124" i="3"/>
  <c r="BO124" i="3"/>
  <c r="BP124" i="3" s="1"/>
  <c r="BQ124" i="3" s="1"/>
  <c r="BR124" i="3" s="1"/>
  <c r="BS124" i="3"/>
  <c r="BW124" i="3"/>
  <c r="W124" i="3" s="1"/>
  <c r="CI124" i="3"/>
  <c r="CM124" i="3" s="1"/>
  <c r="BN80" i="3"/>
  <c r="CI80" i="3"/>
  <c r="CM80" i="3" s="1"/>
  <c r="BO80" i="3"/>
  <c r="BS80" i="3"/>
  <c r="BT80" i="3" s="1"/>
  <c r="BU80" i="3" s="1"/>
  <c r="BV80" i="3" s="1"/>
  <c r="BW80" i="3"/>
  <c r="W80" i="3" s="1"/>
  <c r="CJ80" i="3"/>
  <c r="BO289" i="3"/>
  <c r="BP289" i="3" s="1"/>
  <c r="BQ289" i="3" s="1"/>
  <c r="BR289" i="3" s="1"/>
  <c r="BS289" i="3"/>
  <c r="BW289" i="3"/>
  <c r="W289" i="3" s="1"/>
  <c r="CJ289" i="3"/>
  <c r="BN289" i="3"/>
  <c r="CI289" i="3"/>
  <c r="CM289" i="3" s="1"/>
  <c r="BO285" i="3"/>
  <c r="BS285" i="3"/>
  <c r="BT285" i="3" s="1"/>
  <c r="BU285" i="3" s="1"/>
  <c r="BV285" i="3" s="1"/>
  <c r="BW285" i="3"/>
  <c r="W285" i="3" s="1"/>
  <c r="CJ285" i="3"/>
  <c r="BN285" i="3"/>
  <c r="CI285" i="3"/>
  <c r="CM285" i="3" s="1"/>
  <c r="BO281" i="3"/>
  <c r="BP281" i="3" s="1"/>
  <c r="BQ281" i="3" s="1"/>
  <c r="BR281" i="3" s="1"/>
  <c r="BS281" i="3"/>
  <c r="BW281" i="3"/>
  <c r="W281" i="3" s="1"/>
  <c r="CJ281" i="3"/>
  <c r="BN281" i="3"/>
  <c r="CI281" i="3"/>
  <c r="CM281" i="3" s="1"/>
  <c r="BN277" i="3"/>
  <c r="CI277" i="3"/>
  <c r="CM277" i="3" s="1"/>
  <c r="BO277" i="3"/>
  <c r="BS277" i="3"/>
  <c r="BT277" i="3" s="1"/>
  <c r="BU277" i="3" s="1"/>
  <c r="BV277" i="3" s="1"/>
  <c r="BW277" i="3"/>
  <c r="W277" i="3" s="1"/>
  <c r="CJ277" i="3"/>
  <c r="BN267" i="3"/>
  <c r="CI267" i="3"/>
  <c r="CM267" i="3" s="1"/>
  <c r="BO267" i="3"/>
  <c r="BS267" i="3"/>
  <c r="BT267" i="3" s="1"/>
  <c r="BU267" i="3" s="1"/>
  <c r="BV267" i="3" s="1"/>
  <c r="BW267" i="3"/>
  <c r="W267" i="3" s="1"/>
  <c r="CJ267" i="3"/>
  <c r="BN247" i="3"/>
  <c r="CI247" i="3"/>
  <c r="CM247" i="3" s="1"/>
  <c r="BO247" i="3"/>
  <c r="BS247" i="3"/>
  <c r="BT247" i="3" s="1"/>
  <c r="BU247" i="3" s="1"/>
  <c r="BV247" i="3" s="1"/>
  <c r="BW247" i="3"/>
  <c r="W247" i="3" s="1"/>
  <c r="CJ247" i="3"/>
  <c r="BN243" i="3"/>
  <c r="CI243" i="3"/>
  <c r="CM243" i="3" s="1"/>
  <c r="BO243" i="3"/>
  <c r="BP243" i="3" s="1"/>
  <c r="BQ243" i="3" s="1"/>
  <c r="BR243" i="3" s="1"/>
  <c r="BS243" i="3"/>
  <c r="BW243" i="3"/>
  <c r="W243" i="3" s="1"/>
  <c r="CJ243" i="3"/>
  <c r="BN239" i="3"/>
  <c r="CI239" i="3"/>
  <c r="CM239" i="3" s="1"/>
  <c r="BO239" i="3"/>
  <c r="BS239" i="3"/>
  <c r="BT239" i="3" s="1"/>
  <c r="BU239" i="3" s="1"/>
  <c r="BV239" i="3" s="1"/>
  <c r="BW239" i="3"/>
  <c r="W239" i="3" s="1"/>
  <c r="CJ239" i="3"/>
  <c r="BN236" i="3"/>
  <c r="CI236" i="3"/>
  <c r="CM236" i="3" s="1"/>
  <c r="BO236" i="3"/>
  <c r="BS236" i="3"/>
  <c r="BW236" i="3"/>
  <c r="W236" i="3" s="1"/>
  <c r="CJ236" i="3"/>
  <c r="BO226" i="3"/>
  <c r="BS226" i="3"/>
  <c r="BT226" i="3" s="1"/>
  <c r="BU226" i="3" s="1"/>
  <c r="BV226" i="3" s="1"/>
  <c r="BW226" i="3"/>
  <c r="W226" i="3" s="1"/>
  <c r="CJ226" i="3"/>
  <c r="BN226" i="3"/>
  <c r="CI226" i="3"/>
  <c r="CM226" i="3" s="1"/>
  <c r="BO123" i="3"/>
  <c r="BS123" i="3"/>
  <c r="BT123" i="3" s="1"/>
  <c r="BU123" i="3" s="1"/>
  <c r="BV123" i="3" s="1"/>
  <c r="BW123" i="3"/>
  <c r="W123" i="3" s="1"/>
  <c r="CI123" i="3"/>
  <c r="CM123" i="3" s="1"/>
  <c r="BN123" i="3"/>
  <c r="CJ123" i="3"/>
  <c r="BO119" i="3"/>
  <c r="BS119" i="3"/>
  <c r="BT119" i="3" s="1"/>
  <c r="BU119" i="3" s="1"/>
  <c r="BV119" i="3" s="1"/>
  <c r="BW119" i="3"/>
  <c r="W119" i="3" s="1"/>
  <c r="CI119" i="3"/>
  <c r="CM119" i="3" s="1"/>
  <c r="BN119" i="3"/>
  <c r="CJ119" i="3"/>
  <c r="BN115" i="3"/>
  <c r="CJ115" i="3"/>
  <c r="BO115" i="3"/>
  <c r="BS115" i="3"/>
  <c r="BW115" i="3"/>
  <c r="W115" i="3" s="1"/>
  <c r="CI115" i="3"/>
  <c r="CM115" i="3" s="1"/>
  <c r="BN111" i="3"/>
  <c r="CI111" i="3"/>
  <c r="CM111" i="3" s="1"/>
  <c r="BO111" i="3"/>
  <c r="BS111" i="3"/>
  <c r="BT111" i="3" s="1"/>
  <c r="BU111" i="3" s="1"/>
  <c r="BV111" i="3" s="1"/>
  <c r="BW111" i="3"/>
  <c r="W111" i="3" s="1"/>
  <c r="CJ111" i="3"/>
  <c r="BN107" i="3"/>
  <c r="CI107" i="3"/>
  <c r="CM107" i="3" s="1"/>
  <c r="BO107" i="3"/>
  <c r="BS107" i="3"/>
  <c r="BW107" i="3"/>
  <c r="W107" i="3" s="1"/>
  <c r="CJ107" i="3"/>
  <c r="BN103" i="3"/>
  <c r="CI103" i="3"/>
  <c r="CM103" i="3" s="1"/>
  <c r="BO103" i="3"/>
  <c r="BS103" i="3"/>
  <c r="BT103" i="3" s="1"/>
  <c r="BU103" i="3" s="1"/>
  <c r="BV103" i="3" s="1"/>
  <c r="BW103" i="3"/>
  <c r="W103" i="3" s="1"/>
  <c r="CJ103" i="3"/>
  <c r="BN99" i="3"/>
  <c r="CI99" i="3"/>
  <c r="CM99" i="3" s="1"/>
  <c r="BO99" i="3"/>
  <c r="BP99" i="3" s="1"/>
  <c r="BQ99" i="3" s="1"/>
  <c r="BR99" i="3" s="1"/>
  <c r="BS99" i="3"/>
  <c r="BW99" i="3"/>
  <c r="W99" i="3" s="1"/>
  <c r="CJ99" i="3"/>
  <c r="BO95" i="3"/>
  <c r="BS95" i="3"/>
  <c r="BT95" i="3" s="1"/>
  <c r="BU95" i="3" s="1"/>
  <c r="BV95" i="3" s="1"/>
  <c r="BW95" i="3"/>
  <c r="W95" i="3" s="1"/>
  <c r="CJ95" i="3"/>
  <c r="BN95" i="3"/>
  <c r="CI95" i="3"/>
  <c r="CM95" i="3" s="1"/>
  <c r="BO91" i="3"/>
  <c r="BS91" i="3"/>
  <c r="BT91" i="3" s="1"/>
  <c r="BU91" i="3" s="1"/>
  <c r="BV91" i="3" s="1"/>
  <c r="CI91" i="3"/>
  <c r="CM91" i="3" s="1"/>
  <c r="BN91" i="3"/>
  <c r="BW91" i="3"/>
  <c r="W91" i="3" s="1"/>
  <c r="CJ91" i="3"/>
  <c r="BO86" i="3"/>
  <c r="BS86" i="3"/>
  <c r="BT86" i="3" s="1"/>
  <c r="BU86" i="3" s="1"/>
  <c r="BV86" i="3" s="1"/>
  <c r="BW86" i="3"/>
  <c r="W86" i="3" s="1"/>
  <c r="CI86" i="3"/>
  <c r="CM86" i="3" s="1"/>
  <c r="BN86" i="3"/>
  <c r="CJ86" i="3"/>
  <c r="BO140" i="3"/>
  <c r="BS140" i="3"/>
  <c r="BT140" i="3" s="1"/>
  <c r="BU140" i="3" s="1"/>
  <c r="BV140" i="3" s="1"/>
  <c r="BN140" i="3"/>
  <c r="BW140" i="3"/>
  <c r="W140" i="3" s="1"/>
  <c r="CI140" i="3"/>
  <c r="CM140" i="3" s="1"/>
  <c r="CJ140" i="3"/>
  <c r="BO136" i="3"/>
  <c r="BS136" i="3"/>
  <c r="BT136" i="3" s="1"/>
  <c r="BU136" i="3" s="1"/>
  <c r="BV136" i="3" s="1"/>
  <c r="BN136" i="3"/>
  <c r="BW136" i="3"/>
  <c r="W136" i="3" s="1"/>
  <c r="CI136" i="3"/>
  <c r="CM136" i="3" s="1"/>
  <c r="CJ136" i="3"/>
  <c r="BO132" i="3"/>
  <c r="BS132" i="3"/>
  <c r="BT132" i="3" s="1"/>
  <c r="BU132" i="3" s="1"/>
  <c r="BV132" i="3" s="1"/>
  <c r="BN132" i="3"/>
  <c r="BW132" i="3"/>
  <c r="W132" i="3" s="1"/>
  <c r="CI132" i="3"/>
  <c r="CM132" i="3" s="1"/>
  <c r="CJ132" i="3"/>
  <c r="BO128" i="3"/>
  <c r="BS128" i="3"/>
  <c r="BT128" i="3" s="1"/>
  <c r="BU128" i="3" s="1"/>
  <c r="BV128" i="3" s="1"/>
  <c r="BN128" i="3"/>
  <c r="BW128" i="3"/>
  <c r="W128" i="3" s="1"/>
  <c r="CI128" i="3"/>
  <c r="CM128" i="3" s="1"/>
  <c r="CJ128" i="3"/>
  <c r="BO125" i="3"/>
  <c r="BS125" i="3"/>
  <c r="BT125" i="3" s="1"/>
  <c r="BU125" i="3" s="1"/>
  <c r="BV125" i="3" s="1"/>
  <c r="BW125" i="3"/>
  <c r="W125" i="3" s="1"/>
  <c r="CI125" i="3"/>
  <c r="CM125" i="3" s="1"/>
  <c r="BN125" i="3"/>
  <c r="CJ125" i="3"/>
  <c r="BN244" i="3"/>
  <c r="CI244" i="3"/>
  <c r="CM244" i="3" s="1"/>
  <c r="BO244" i="3"/>
  <c r="BS244" i="3"/>
  <c r="BT244" i="3" s="1"/>
  <c r="BU244" i="3" s="1"/>
  <c r="BV244" i="3" s="1"/>
  <c r="BW244" i="3"/>
  <c r="W244" i="3" s="1"/>
  <c r="CJ244" i="3"/>
  <c r="BN240" i="3"/>
  <c r="CI240" i="3"/>
  <c r="CM240" i="3" s="1"/>
  <c r="BO240" i="3"/>
  <c r="BP240" i="3" s="1"/>
  <c r="BQ240" i="3" s="1"/>
  <c r="BR240" i="3" s="1"/>
  <c r="BS240" i="3"/>
  <c r="BW240" i="3"/>
  <c r="W240" i="3" s="1"/>
  <c r="CJ240" i="3"/>
  <c r="BN231" i="3"/>
  <c r="CI231" i="3"/>
  <c r="CM231" i="3" s="1"/>
  <c r="BO231" i="3"/>
  <c r="BS231" i="3"/>
  <c r="BW231" i="3"/>
  <c r="W231" i="3" s="1"/>
  <c r="CJ231" i="3"/>
  <c r="BO227" i="3"/>
  <c r="BS227" i="3"/>
  <c r="BT227" i="3" s="1"/>
  <c r="BU227" i="3" s="1"/>
  <c r="BV227" i="3" s="1"/>
  <c r="BW227" i="3"/>
  <c r="W227" i="3" s="1"/>
  <c r="CJ227" i="3"/>
  <c r="BN227" i="3"/>
  <c r="CI227" i="3"/>
  <c r="CM227" i="3" s="1"/>
  <c r="BO223" i="3"/>
  <c r="BS223" i="3"/>
  <c r="BT223" i="3" s="1"/>
  <c r="BU223" i="3" s="1"/>
  <c r="BV223" i="3" s="1"/>
  <c r="BW223" i="3"/>
  <c r="W223" i="3" s="1"/>
  <c r="CJ223" i="3"/>
  <c r="BN223" i="3"/>
  <c r="CI223" i="3"/>
  <c r="CM223" i="3" s="1"/>
  <c r="BO218" i="3"/>
  <c r="BS218" i="3"/>
  <c r="BT218" i="3" s="1"/>
  <c r="BU218" i="3" s="1"/>
  <c r="BV218" i="3" s="1"/>
  <c r="BW218" i="3"/>
  <c r="W218" i="3" s="1"/>
  <c r="CJ218" i="3"/>
  <c r="BN218" i="3"/>
  <c r="CI218" i="3"/>
  <c r="CM218" i="3" s="1"/>
  <c r="BO215" i="3"/>
  <c r="BS215" i="3"/>
  <c r="BT215" i="3" s="1"/>
  <c r="BU215" i="3" s="1"/>
  <c r="BV215" i="3" s="1"/>
  <c r="BW215" i="3"/>
  <c r="W215" i="3" s="1"/>
  <c r="CJ215" i="3"/>
  <c r="BN215" i="3"/>
  <c r="CI215" i="3"/>
  <c r="CM215" i="3" s="1"/>
  <c r="BO211" i="3"/>
  <c r="BS211" i="3"/>
  <c r="BT211" i="3" s="1"/>
  <c r="BU211" i="3" s="1"/>
  <c r="BV211" i="3" s="1"/>
  <c r="BW211" i="3"/>
  <c r="W211" i="3" s="1"/>
  <c r="CJ211" i="3"/>
  <c r="BN211" i="3"/>
  <c r="CI211" i="3"/>
  <c r="CM211" i="3" s="1"/>
  <c r="BN207" i="3"/>
  <c r="BS207" i="3"/>
  <c r="CJ207" i="3"/>
  <c r="BO207" i="3"/>
  <c r="BW207" i="3"/>
  <c r="W207" i="3" s="1"/>
  <c r="CI207" i="3"/>
  <c r="CM207" i="3" s="1"/>
  <c r="BN203" i="3"/>
  <c r="BS203" i="3"/>
  <c r="BO203" i="3"/>
  <c r="BW203" i="3"/>
  <c r="W203" i="3" s="1"/>
  <c r="CI203" i="3"/>
  <c r="CM203" i="3" s="1"/>
  <c r="CJ203" i="3"/>
  <c r="BN198" i="3"/>
  <c r="BS198" i="3"/>
  <c r="BO198" i="3"/>
  <c r="BW198" i="3"/>
  <c r="W198" i="3" s="1"/>
  <c r="CI198" i="3"/>
  <c r="CM198" i="3" s="1"/>
  <c r="CJ198" i="3"/>
  <c r="BN194" i="3"/>
  <c r="BS194" i="3"/>
  <c r="BO194" i="3"/>
  <c r="BW194" i="3"/>
  <c r="W194" i="3" s="1"/>
  <c r="CI194" i="3"/>
  <c r="CM194" i="3" s="1"/>
  <c r="CJ194" i="3"/>
  <c r="BN190" i="3"/>
  <c r="BS190" i="3"/>
  <c r="BO190" i="3"/>
  <c r="BW190" i="3"/>
  <c r="W190" i="3" s="1"/>
  <c r="CI190" i="3"/>
  <c r="CM190" i="3" s="1"/>
  <c r="CJ190" i="3"/>
  <c r="BN186" i="3"/>
  <c r="BS186" i="3"/>
  <c r="BO186" i="3"/>
  <c r="BW186" i="3"/>
  <c r="W186" i="3" s="1"/>
  <c r="CI186" i="3"/>
  <c r="CM186" i="3" s="1"/>
  <c r="CJ186" i="3"/>
  <c r="BN182" i="3"/>
  <c r="BS182" i="3"/>
  <c r="BO182" i="3"/>
  <c r="BW182" i="3"/>
  <c r="W182" i="3" s="1"/>
  <c r="CI182" i="3"/>
  <c r="CM182" i="3" s="1"/>
  <c r="CJ182" i="3"/>
  <c r="BN178" i="3"/>
  <c r="BO178" i="3"/>
  <c r="BS178" i="3"/>
  <c r="BW178" i="3"/>
  <c r="W178" i="3" s="1"/>
  <c r="CI178" i="3"/>
  <c r="CM178" i="3" s="1"/>
  <c r="CJ178" i="3"/>
  <c r="BN174" i="3"/>
  <c r="BW174" i="3"/>
  <c r="W174" i="3" s="1"/>
  <c r="CI174" i="3"/>
  <c r="CM174" i="3" s="1"/>
  <c r="CJ174" i="3"/>
  <c r="BO174" i="3"/>
  <c r="BS174" i="3"/>
  <c r="BT174" i="3" s="1"/>
  <c r="BU174" i="3" s="1"/>
  <c r="BV174" i="3" s="1"/>
  <c r="BN263" i="3"/>
  <c r="CI263" i="3"/>
  <c r="CM263" i="3" s="1"/>
  <c r="BO263" i="3"/>
  <c r="BS263" i="3"/>
  <c r="BT263" i="3" s="1"/>
  <c r="BU263" i="3" s="1"/>
  <c r="BV263" i="3" s="1"/>
  <c r="BW263" i="3"/>
  <c r="W263" i="3" s="1"/>
  <c r="CJ263" i="3"/>
  <c r="BO161" i="3"/>
  <c r="BS161" i="3"/>
  <c r="BT161" i="3" s="1"/>
  <c r="BU161" i="3" s="1"/>
  <c r="BV161" i="3" s="1"/>
  <c r="BN161" i="3"/>
  <c r="BW161" i="3"/>
  <c r="W161" i="3" s="1"/>
  <c r="CI161" i="3"/>
  <c r="CM161" i="3" s="1"/>
  <c r="CJ161" i="3"/>
  <c r="BN255" i="3"/>
  <c r="CI255" i="3"/>
  <c r="CM255" i="3" s="1"/>
  <c r="BO255" i="3"/>
  <c r="BP255" i="3" s="1"/>
  <c r="BQ255" i="3" s="1"/>
  <c r="BR255" i="3" s="1"/>
  <c r="BS255" i="3"/>
  <c r="BW255" i="3"/>
  <c r="W255" i="3" s="1"/>
  <c r="CJ255" i="3"/>
  <c r="BT170" i="3"/>
  <c r="BU170" i="3"/>
  <c r="BV170" i="3" s="1"/>
  <c r="BO202" i="3"/>
  <c r="BW202" i="3"/>
  <c r="W202" i="3" s="1"/>
  <c r="CI202" i="3"/>
  <c r="CM202" i="3" s="1"/>
  <c r="CJ202" i="3"/>
  <c r="BN202" i="3"/>
  <c r="BS202" i="3"/>
  <c r="S98" i="3"/>
  <c r="S78" i="3"/>
  <c r="N78" i="3"/>
  <c r="S30" i="3"/>
  <c r="N30" i="3"/>
  <c r="S76" i="3"/>
  <c r="N76" i="3"/>
  <c r="S82" i="3"/>
  <c r="N82" i="3"/>
  <c r="S70" i="3"/>
  <c r="N70" i="3"/>
  <c r="S33" i="3"/>
  <c r="N33" i="3"/>
  <c r="S74" i="3"/>
  <c r="N74" i="3"/>
  <c r="S68" i="3"/>
  <c r="N68" i="3"/>
  <c r="S66" i="3"/>
  <c r="N66" i="3"/>
  <c r="S72" i="3"/>
  <c r="N72" i="3"/>
  <c r="S268" i="3"/>
  <c r="S52" i="3"/>
  <c r="S275" i="3"/>
  <c r="S271" i="3"/>
  <c r="S13" i="3"/>
  <c r="S9" i="3"/>
  <c r="S11" i="3"/>
  <c r="W170" i="3"/>
  <c r="AV289" i="3" l="1"/>
  <c r="CL86" i="3"/>
  <c r="CK86" i="3"/>
  <c r="CL154" i="3"/>
  <c r="CK154" i="3"/>
  <c r="CL162" i="3"/>
  <c r="CK162" i="3"/>
  <c r="CL169" i="3"/>
  <c r="CK169" i="3"/>
  <c r="CL200" i="3"/>
  <c r="CK200" i="3"/>
  <c r="CK184" i="3"/>
  <c r="CL184" i="3"/>
  <c r="CL93" i="3"/>
  <c r="CK93" i="3"/>
  <c r="CL26" i="3"/>
  <c r="CK26" i="3"/>
  <c r="CL157" i="3"/>
  <c r="CK157" i="3"/>
  <c r="CL10" i="3"/>
  <c r="CK10" i="3"/>
  <c r="CL171" i="3"/>
  <c r="CK171" i="3"/>
  <c r="CL178" i="3"/>
  <c r="CK178" i="3"/>
  <c r="CL232" i="3"/>
  <c r="CK232" i="3"/>
  <c r="CL109" i="3"/>
  <c r="CK109" i="3"/>
  <c r="CL117" i="3"/>
  <c r="CK117" i="3"/>
  <c r="CL121" i="3"/>
  <c r="CK121" i="3"/>
  <c r="CK12" i="3"/>
  <c r="CL12" i="3"/>
  <c r="CK265" i="3"/>
  <c r="CL265" i="3"/>
  <c r="CL42" i="3"/>
  <c r="CK42" i="3"/>
  <c r="CL202" i="3"/>
  <c r="CK202" i="3"/>
  <c r="CK223" i="3"/>
  <c r="CL223" i="3"/>
  <c r="CK231" i="3"/>
  <c r="CL231" i="3"/>
  <c r="CL125" i="3"/>
  <c r="CK125" i="3"/>
  <c r="CK239" i="3"/>
  <c r="CL239" i="3"/>
  <c r="CL277" i="3"/>
  <c r="CK277" i="3"/>
  <c r="CL106" i="3"/>
  <c r="CK106" i="3"/>
  <c r="CL185" i="3"/>
  <c r="CK185" i="3"/>
  <c r="CK201" i="3"/>
  <c r="CL201" i="3"/>
  <c r="CL126" i="3"/>
  <c r="CK126" i="3"/>
  <c r="CK89" i="3"/>
  <c r="CL89" i="3"/>
  <c r="CL34" i="3"/>
  <c r="CK34" i="3"/>
  <c r="CL155" i="3"/>
  <c r="CK155" i="3"/>
  <c r="CL179" i="3"/>
  <c r="CK179" i="3"/>
  <c r="CL136" i="3"/>
  <c r="CK136" i="3"/>
  <c r="CL41" i="3"/>
  <c r="CK41" i="3"/>
  <c r="CL282" i="3"/>
  <c r="CK282" i="3"/>
  <c r="CL67" i="3"/>
  <c r="CK67" i="3"/>
  <c r="CL165" i="3"/>
  <c r="CK165" i="3"/>
  <c r="CL181" i="3"/>
  <c r="CK181" i="3"/>
  <c r="CL114" i="3"/>
  <c r="CK114" i="3"/>
  <c r="CL164" i="3"/>
  <c r="CK164" i="3"/>
  <c r="CL228" i="3"/>
  <c r="CK228" i="3"/>
  <c r="CL237" i="3"/>
  <c r="CK237" i="3"/>
  <c r="CL260" i="3"/>
  <c r="CK260" i="3"/>
  <c r="CK110" i="3"/>
  <c r="CL110" i="3"/>
  <c r="CL99" i="3"/>
  <c r="CK99" i="3"/>
  <c r="CL124" i="3"/>
  <c r="CK124" i="3"/>
  <c r="CL27" i="3"/>
  <c r="CK27" i="3"/>
  <c r="CL290" i="3"/>
  <c r="CK290" i="3"/>
  <c r="CL77" i="3"/>
  <c r="CK77" i="3"/>
  <c r="CK278" i="3"/>
  <c r="CL278" i="3"/>
  <c r="CL144" i="3"/>
  <c r="CK144" i="3"/>
  <c r="CL150" i="3"/>
  <c r="CK150" i="3"/>
  <c r="CK158" i="3"/>
  <c r="CL158" i="3"/>
  <c r="CK192" i="3"/>
  <c r="CL192" i="3"/>
  <c r="CK7" i="3"/>
  <c r="CL7" i="3"/>
  <c r="CK23" i="3"/>
  <c r="CL23" i="3"/>
  <c r="CK174" i="3"/>
  <c r="CL174" i="3"/>
  <c r="CL186" i="3"/>
  <c r="CK186" i="3"/>
  <c r="CL132" i="3"/>
  <c r="CK132" i="3"/>
  <c r="CK31" i="3"/>
  <c r="CL31" i="3"/>
  <c r="CK25" i="3"/>
  <c r="CL25" i="3"/>
  <c r="CL22" i="3"/>
  <c r="CK22" i="3"/>
  <c r="CK39" i="3"/>
  <c r="CL39" i="3"/>
  <c r="CK48" i="3"/>
  <c r="CL48" i="3"/>
  <c r="CL58" i="3"/>
  <c r="CK58" i="3"/>
  <c r="CL64" i="3"/>
  <c r="CK64" i="3"/>
  <c r="CL142" i="3"/>
  <c r="CK142" i="3"/>
  <c r="CL253" i="3"/>
  <c r="CK253" i="3"/>
  <c r="CL222" i="3"/>
  <c r="CK222" i="3"/>
  <c r="CK256" i="3"/>
  <c r="CL256" i="3"/>
  <c r="CL220" i="3"/>
  <c r="CK220" i="3"/>
  <c r="CL233" i="3"/>
  <c r="CK233" i="3"/>
  <c r="CL97" i="3"/>
  <c r="CK97" i="3"/>
  <c r="CL101" i="3"/>
  <c r="CK101" i="3"/>
  <c r="CL224" i="3"/>
  <c r="CK224" i="3"/>
  <c r="CL230" i="3"/>
  <c r="CK230" i="3"/>
  <c r="CL251" i="3"/>
  <c r="CK251" i="3"/>
  <c r="CK279" i="3"/>
  <c r="CL279" i="3"/>
  <c r="CK287" i="3"/>
  <c r="CL287" i="3"/>
  <c r="CL19" i="3"/>
  <c r="CK19" i="3"/>
  <c r="CL59" i="3"/>
  <c r="CK59" i="3"/>
  <c r="CL246" i="3"/>
  <c r="CK246" i="3"/>
  <c r="CL262" i="3"/>
  <c r="CK262" i="3"/>
  <c r="CL73" i="3"/>
  <c r="CK73" i="3"/>
  <c r="CL221" i="3"/>
  <c r="CK221" i="3"/>
  <c r="CL252" i="3"/>
  <c r="CK252" i="3"/>
  <c r="CK87" i="3"/>
  <c r="CL87" i="3"/>
  <c r="CL112" i="3"/>
  <c r="CK112" i="3"/>
  <c r="CK263" i="3"/>
  <c r="CL263" i="3"/>
  <c r="CL227" i="3"/>
  <c r="CK227" i="3"/>
  <c r="CK240" i="3"/>
  <c r="CL240" i="3"/>
  <c r="CL289" i="3"/>
  <c r="CK289" i="3"/>
  <c r="CL36" i="3"/>
  <c r="CK36" i="3"/>
  <c r="CL104" i="3"/>
  <c r="CK104" i="3"/>
  <c r="CL43" i="3"/>
  <c r="CK43" i="3"/>
  <c r="CL173" i="3"/>
  <c r="CK173" i="3"/>
  <c r="CL204" i="3"/>
  <c r="CK204" i="3"/>
  <c r="CL172" i="3"/>
  <c r="CK172" i="3"/>
  <c r="CK143" i="3"/>
  <c r="CL143" i="3"/>
  <c r="CL187" i="3"/>
  <c r="CK187" i="3"/>
  <c r="CL54" i="3"/>
  <c r="CK54" i="3"/>
  <c r="CL146" i="3"/>
  <c r="CK146" i="3"/>
  <c r="CL261" i="3"/>
  <c r="CK261" i="3"/>
  <c r="CK71" i="3"/>
  <c r="CL71" i="3"/>
  <c r="CL212" i="3"/>
  <c r="CK212" i="3"/>
  <c r="CL274" i="3"/>
  <c r="CK274" i="3"/>
  <c r="CL122" i="3"/>
  <c r="CK122" i="3"/>
  <c r="CL213" i="3"/>
  <c r="CK213" i="3"/>
  <c r="CK238" i="3"/>
  <c r="CL238" i="3"/>
  <c r="CL241" i="3"/>
  <c r="CK241" i="3"/>
  <c r="CL84" i="3"/>
  <c r="CK84" i="3"/>
  <c r="CL214" i="3"/>
  <c r="CK214" i="3"/>
  <c r="CL286" i="3"/>
  <c r="CK286" i="3"/>
  <c r="CK79" i="3"/>
  <c r="CL79" i="3"/>
  <c r="CK95" i="3"/>
  <c r="CL95" i="3"/>
  <c r="CK103" i="3"/>
  <c r="CL103" i="3"/>
  <c r="CL285" i="3"/>
  <c r="CK285" i="3"/>
  <c r="CL80" i="3"/>
  <c r="CK80" i="3"/>
  <c r="CL81" i="3"/>
  <c r="CK81" i="3"/>
  <c r="CL94" i="3"/>
  <c r="CK94" i="3"/>
  <c r="CL141" i="3"/>
  <c r="CK141" i="3"/>
  <c r="CL152" i="3"/>
  <c r="CK152" i="3"/>
  <c r="CL160" i="3"/>
  <c r="CK160" i="3"/>
  <c r="CL196" i="3"/>
  <c r="CK196" i="3"/>
  <c r="CL35" i="3"/>
  <c r="CK35" i="3"/>
  <c r="CL51" i="3"/>
  <c r="CK51" i="3"/>
  <c r="CL149" i="3"/>
  <c r="CK149" i="3"/>
  <c r="CK167" i="3"/>
  <c r="CL167" i="3"/>
  <c r="CK183" i="3"/>
  <c r="CL183" i="3"/>
  <c r="CL190" i="3"/>
  <c r="CK190" i="3"/>
  <c r="CL259" i="3"/>
  <c r="CK259" i="3"/>
  <c r="CL40" i="3"/>
  <c r="CK40" i="3"/>
  <c r="CL60" i="3"/>
  <c r="CK60" i="3"/>
  <c r="CL257" i="3"/>
  <c r="CK257" i="3"/>
  <c r="CL209" i="3"/>
  <c r="CK209" i="3"/>
  <c r="CL229" i="3"/>
  <c r="CK229" i="3"/>
  <c r="CL235" i="3"/>
  <c r="CK235" i="3"/>
  <c r="CK105" i="3"/>
  <c r="CL105" i="3"/>
  <c r="CL38" i="3"/>
  <c r="CK38" i="3"/>
  <c r="CL250" i="3"/>
  <c r="CK250" i="3"/>
  <c r="CL270" i="3"/>
  <c r="CK270" i="3"/>
  <c r="CL166" i="3"/>
  <c r="CK166" i="3"/>
  <c r="CL236" i="3"/>
  <c r="CK236" i="3"/>
  <c r="CL267" i="3"/>
  <c r="CK267" i="3"/>
  <c r="CL197" i="3"/>
  <c r="CK197" i="3"/>
  <c r="CK137" i="3"/>
  <c r="CL137" i="3"/>
  <c r="CL138" i="3"/>
  <c r="CK138" i="3"/>
  <c r="CK47" i="3"/>
  <c r="CL47" i="3"/>
  <c r="CL147" i="3"/>
  <c r="CK147" i="3"/>
  <c r="CK153" i="3"/>
  <c r="CL153" i="3"/>
  <c r="CL163" i="3"/>
  <c r="CK163" i="3"/>
  <c r="CL195" i="3"/>
  <c r="CK195" i="3"/>
  <c r="CL139" i="3"/>
  <c r="CK139" i="3"/>
  <c r="CL203" i="3"/>
  <c r="CK203" i="3"/>
  <c r="CK215" i="3"/>
  <c r="CL215" i="3"/>
  <c r="CL244" i="3"/>
  <c r="CK244" i="3"/>
  <c r="CK111" i="3"/>
  <c r="CL111" i="3"/>
  <c r="CL123" i="3"/>
  <c r="CK123" i="3"/>
  <c r="CK247" i="3"/>
  <c r="CL247" i="3"/>
  <c r="CL269" i="3"/>
  <c r="CK269" i="3"/>
  <c r="CL85" i="3"/>
  <c r="CK85" i="3"/>
  <c r="CL108" i="3"/>
  <c r="CK108" i="3"/>
  <c r="CL20" i="3"/>
  <c r="CK20" i="3"/>
  <c r="CL156" i="3"/>
  <c r="CK156" i="3"/>
  <c r="CL177" i="3"/>
  <c r="CK177" i="3"/>
  <c r="CK193" i="3"/>
  <c r="CL193" i="3"/>
  <c r="CL133" i="3"/>
  <c r="CK133" i="3"/>
  <c r="CL176" i="3"/>
  <c r="CK176" i="3"/>
  <c r="CL188" i="3"/>
  <c r="CK188" i="3"/>
  <c r="CL205" i="3"/>
  <c r="CK205" i="3"/>
  <c r="CL134" i="3"/>
  <c r="CK134" i="3"/>
  <c r="CL28" i="3"/>
  <c r="CK28" i="3"/>
  <c r="CL29" i="3"/>
  <c r="CK29" i="3"/>
  <c r="CL45" i="3"/>
  <c r="CK45" i="3"/>
  <c r="CL145" i="3"/>
  <c r="CK145" i="3"/>
  <c r="CK151" i="3"/>
  <c r="CL151" i="3"/>
  <c r="CK159" i="3"/>
  <c r="CL159" i="3"/>
  <c r="CL8" i="3"/>
  <c r="CK8" i="3"/>
  <c r="CK175" i="3"/>
  <c r="CL175" i="3"/>
  <c r="CK191" i="3"/>
  <c r="CL191" i="3"/>
  <c r="CK135" i="3"/>
  <c r="CL135" i="3"/>
  <c r="CL88" i="3"/>
  <c r="CK88" i="3"/>
  <c r="CL211" i="3"/>
  <c r="CK211" i="3"/>
  <c r="CL107" i="3"/>
  <c r="CK107" i="3"/>
  <c r="CL115" i="3"/>
  <c r="CK115" i="3"/>
  <c r="CK119" i="3"/>
  <c r="CL119" i="3"/>
  <c r="CL243" i="3"/>
  <c r="CK243" i="3"/>
  <c r="CL92" i="3"/>
  <c r="CK92" i="3"/>
  <c r="CL118" i="3"/>
  <c r="CK118" i="3"/>
  <c r="CK49" i="3"/>
  <c r="CL49" i="3"/>
  <c r="CL24" i="3"/>
  <c r="CK24" i="3"/>
  <c r="CL189" i="3"/>
  <c r="CK189" i="3"/>
  <c r="CK129" i="3"/>
  <c r="CL129" i="3"/>
  <c r="CL168" i="3"/>
  <c r="CK168" i="3"/>
  <c r="CL130" i="3"/>
  <c r="CK130" i="3"/>
  <c r="CL206" i="3"/>
  <c r="CK206" i="3"/>
  <c r="CK127" i="3"/>
  <c r="CL127" i="3"/>
  <c r="CL194" i="3"/>
  <c r="CK194" i="3"/>
  <c r="CL140" i="3"/>
  <c r="CK140" i="3"/>
  <c r="CL131" i="3"/>
  <c r="CK131" i="3"/>
  <c r="CL44" i="3"/>
  <c r="CK44" i="3"/>
  <c r="CL288" i="3"/>
  <c r="CK288" i="3"/>
  <c r="CL102" i="3"/>
  <c r="CK102" i="3"/>
  <c r="CK55" i="3"/>
  <c r="CL55" i="3"/>
  <c r="CL61" i="3"/>
  <c r="CK61" i="3"/>
  <c r="CL254" i="3"/>
  <c r="CK254" i="3"/>
  <c r="CL272" i="3"/>
  <c r="CK272" i="3"/>
  <c r="CL100" i="3"/>
  <c r="CK100" i="3"/>
  <c r="CK120" i="3"/>
  <c r="CL120" i="3"/>
  <c r="CL266" i="3"/>
  <c r="CK266" i="3"/>
  <c r="CK207" i="3"/>
  <c r="CL207" i="3"/>
  <c r="CL226" i="3"/>
  <c r="CK226" i="3"/>
  <c r="CL6" i="3"/>
  <c r="CK6" i="3"/>
  <c r="CK199" i="3"/>
  <c r="CL199" i="3"/>
  <c r="CL32" i="3"/>
  <c r="CK32" i="3"/>
  <c r="CL208" i="3"/>
  <c r="CK208" i="3"/>
  <c r="CL264" i="3"/>
  <c r="CK264" i="3"/>
  <c r="CL284" i="3"/>
  <c r="CK284" i="3"/>
  <c r="CL180" i="3"/>
  <c r="CK180" i="3"/>
  <c r="CL225" i="3"/>
  <c r="CK225" i="3"/>
  <c r="CL53" i="3"/>
  <c r="CK53" i="3"/>
  <c r="CL210" i="3"/>
  <c r="CK210" i="3"/>
  <c r="CL83" i="3"/>
  <c r="CK83" i="3"/>
  <c r="CL90" i="3"/>
  <c r="CK90" i="3"/>
  <c r="CL116" i="3"/>
  <c r="CK116" i="3"/>
  <c r="CK255" i="3"/>
  <c r="CL255" i="3"/>
  <c r="CL218" i="3"/>
  <c r="CK218" i="3"/>
  <c r="CL281" i="3"/>
  <c r="CK281" i="3"/>
  <c r="CL276" i="3"/>
  <c r="CK276" i="3"/>
  <c r="CL50" i="3"/>
  <c r="CK50" i="3"/>
  <c r="CL161" i="3"/>
  <c r="CK161" i="3"/>
  <c r="CL182" i="3"/>
  <c r="CK182" i="3"/>
  <c r="CL198" i="3"/>
  <c r="CK198" i="3"/>
  <c r="CK128" i="3"/>
  <c r="CL128" i="3"/>
  <c r="CL91" i="3"/>
  <c r="CK91" i="3"/>
  <c r="CL21" i="3"/>
  <c r="CK21" i="3"/>
  <c r="CL37" i="3"/>
  <c r="CK37" i="3"/>
  <c r="CL46" i="3"/>
  <c r="CK46" i="3"/>
  <c r="CL56" i="3"/>
  <c r="CK56" i="3"/>
  <c r="CL62" i="3"/>
  <c r="CK62" i="3"/>
  <c r="CL148" i="3"/>
  <c r="CK148" i="3"/>
  <c r="CL249" i="3"/>
  <c r="CK249" i="3"/>
  <c r="CL75" i="3"/>
  <c r="CK75" i="3"/>
  <c r="CL219" i="3"/>
  <c r="CK219" i="3"/>
  <c r="CL248" i="3"/>
  <c r="CK248" i="3"/>
  <c r="CL96" i="3"/>
  <c r="CK96" i="3"/>
  <c r="CK217" i="3"/>
  <c r="CL217" i="3"/>
  <c r="CL113" i="3"/>
  <c r="CK113" i="3"/>
  <c r="CL245" i="3"/>
  <c r="CK245" i="3"/>
  <c r="CL273" i="3"/>
  <c r="CK273" i="3"/>
  <c r="CK283" i="3"/>
  <c r="CL283" i="3"/>
  <c r="CK57" i="3"/>
  <c r="CL57" i="3"/>
  <c r="CK63" i="3"/>
  <c r="CL63" i="3"/>
  <c r="CL258" i="3"/>
  <c r="CK258" i="3"/>
  <c r="CL69" i="3"/>
  <c r="CK69" i="3"/>
  <c r="CK216" i="3"/>
  <c r="CL216" i="3"/>
  <c r="CL234" i="3"/>
  <c r="CK234" i="3"/>
  <c r="CK280" i="3"/>
  <c r="CL280" i="3"/>
  <c r="CL65" i="3"/>
  <c r="CK65" i="3"/>
  <c r="CL242" i="3"/>
  <c r="CK242" i="3"/>
  <c r="BU242" i="3"/>
  <c r="BV242" i="3" s="1"/>
  <c r="BT242" i="3"/>
  <c r="BQ242" i="3"/>
  <c r="BR242" i="3" s="1"/>
  <c r="BP242" i="3"/>
  <c r="BO9" i="3"/>
  <c r="BP9" i="3" s="1"/>
  <c r="BQ9" i="3" s="1"/>
  <c r="BR9" i="3" s="1"/>
  <c r="BN9" i="3"/>
  <c r="BS9" i="3"/>
  <c r="BW9" i="3"/>
  <c r="W9" i="3" s="1"/>
  <c r="CI9" i="3"/>
  <c r="CM9" i="3" s="1"/>
  <c r="CJ9" i="3"/>
  <c r="BN52" i="3"/>
  <c r="BW52" i="3"/>
  <c r="W52" i="3" s="1"/>
  <c r="CI52" i="3"/>
  <c r="CM52" i="3" s="1"/>
  <c r="CJ52" i="3"/>
  <c r="BO52" i="3"/>
  <c r="BS52" i="3"/>
  <c r="BT52" i="3" s="1"/>
  <c r="BU52" i="3" s="1"/>
  <c r="BV52" i="3" s="1"/>
  <c r="BN72" i="3"/>
  <c r="CI72" i="3"/>
  <c r="CM72" i="3" s="1"/>
  <c r="BO72" i="3"/>
  <c r="BS72" i="3"/>
  <c r="BW72" i="3"/>
  <c r="W72" i="3" s="1"/>
  <c r="CJ72" i="3"/>
  <c r="BN68" i="3"/>
  <c r="CI68" i="3"/>
  <c r="CM68" i="3" s="1"/>
  <c r="BO68" i="3"/>
  <c r="BS68" i="3"/>
  <c r="BT68" i="3" s="1"/>
  <c r="BU68" i="3" s="1"/>
  <c r="BV68" i="3" s="1"/>
  <c r="BW68" i="3"/>
  <c r="W68" i="3" s="1"/>
  <c r="CJ68" i="3"/>
  <c r="BN33" i="3"/>
  <c r="BS33" i="3"/>
  <c r="BW33" i="3"/>
  <c r="W33" i="3" s="1"/>
  <c r="CI33" i="3"/>
  <c r="CM33" i="3" s="1"/>
  <c r="CJ33" i="3"/>
  <c r="BO33" i="3"/>
  <c r="BP33" i="3" s="1"/>
  <c r="BQ33" i="3" s="1"/>
  <c r="BR33" i="3" s="1"/>
  <c r="BN82" i="3"/>
  <c r="CI82" i="3"/>
  <c r="CM82" i="3" s="1"/>
  <c r="BO82" i="3"/>
  <c r="BS82" i="3"/>
  <c r="BT82" i="3" s="1"/>
  <c r="BU82" i="3" s="1"/>
  <c r="BV82" i="3" s="1"/>
  <c r="BW82" i="3"/>
  <c r="W82" i="3" s="1"/>
  <c r="CJ82" i="3"/>
  <c r="BN98" i="3"/>
  <c r="CI98" i="3"/>
  <c r="CM98" i="3" s="1"/>
  <c r="BO98" i="3"/>
  <c r="BS98" i="3"/>
  <c r="BW98" i="3"/>
  <c r="W98" i="3" s="1"/>
  <c r="CJ98" i="3"/>
  <c r="BP174" i="3"/>
  <c r="BQ174" i="3"/>
  <c r="BR174" i="3" s="1"/>
  <c r="V174" i="3" s="1"/>
  <c r="BT178" i="3"/>
  <c r="BU178" i="3"/>
  <c r="BV178" i="3" s="1"/>
  <c r="BP194" i="3"/>
  <c r="BQ194" i="3"/>
  <c r="BR194" i="3" s="1"/>
  <c r="BP198" i="3"/>
  <c r="BQ198" i="3"/>
  <c r="BR198" i="3" s="1"/>
  <c r="BP203" i="3"/>
  <c r="BQ203" i="3"/>
  <c r="BR203" i="3" s="1"/>
  <c r="BQ215" i="3"/>
  <c r="BR215" i="3" s="1"/>
  <c r="V215" i="3" s="1"/>
  <c r="BP215" i="3"/>
  <c r="BT231" i="3"/>
  <c r="BU231" i="3"/>
  <c r="BV231" i="3" s="1"/>
  <c r="BQ125" i="3"/>
  <c r="BR125" i="3" s="1"/>
  <c r="U125" i="3" s="1"/>
  <c r="BP125" i="3"/>
  <c r="BP128" i="3"/>
  <c r="BQ128" i="3"/>
  <c r="BR128" i="3" s="1"/>
  <c r="BP132" i="3"/>
  <c r="BQ132" i="3"/>
  <c r="BR132" i="3" s="1"/>
  <c r="V132" i="3" s="1"/>
  <c r="BP136" i="3"/>
  <c r="BQ136" i="3"/>
  <c r="BR136" i="3" s="1"/>
  <c r="V136" i="3" s="1"/>
  <c r="BT99" i="3"/>
  <c r="BU99" i="3" s="1"/>
  <c r="BV99" i="3" s="1"/>
  <c r="BP107" i="3"/>
  <c r="BQ107" i="3"/>
  <c r="BR107" i="3" s="1"/>
  <c r="BQ119" i="3"/>
  <c r="BR119" i="3" s="1"/>
  <c r="BP119" i="3"/>
  <c r="BP236" i="3"/>
  <c r="BQ236" i="3"/>
  <c r="BR236" i="3" s="1"/>
  <c r="BP247" i="3"/>
  <c r="BQ247" i="3"/>
  <c r="BR247" i="3" s="1"/>
  <c r="U247" i="3" s="1"/>
  <c r="BP277" i="3"/>
  <c r="BQ277" i="3"/>
  <c r="BR277" i="3" s="1"/>
  <c r="V277" i="3" s="1"/>
  <c r="BT281" i="3"/>
  <c r="BU281" i="3" s="1"/>
  <c r="BV281" i="3" s="1"/>
  <c r="V281" i="3" s="1"/>
  <c r="BQ285" i="3"/>
  <c r="BR285" i="3" s="1"/>
  <c r="BP285" i="3"/>
  <c r="BT124" i="3"/>
  <c r="BU124" i="3" s="1"/>
  <c r="BV124" i="3" s="1"/>
  <c r="BT92" i="3"/>
  <c r="BU92" i="3" s="1"/>
  <c r="BV92" i="3" s="1"/>
  <c r="BT276" i="3"/>
  <c r="BU276" i="3"/>
  <c r="BV276" i="3" s="1"/>
  <c r="BP106" i="3"/>
  <c r="BQ106" i="3"/>
  <c r="BR106" i="3" s="1"/>
  <c r="U106" i="3" s="1"/>
  <c r="BP278" i="3"/>
  <c r="BQ278" i="3"/>
  <c r="BR278" i="3" s="1"/>
  <c r="U278" i="3" s="1"/>
  <c r="BP141" i="3"/>
  <c r="BQ141" i="3"/>
  <c r="BR141" i="3" s="1"/>
  <c r="V141" i="3" s="1"/>
  <c r="BO11" i="3"/>
  <c r="BS11" i="3"/>
  <c r="BT11" i="3" s="1"/>
  <c r="BU11" i="3" s="1"/>
  <c r="BV11" i="3" s="1"/>
  <c r="BN11" i="3"/>
  <c r="BW11" i="3"/>
  <c r="W11" i="3" s="1"/>
  <c r="CI11" i="3"/>
  <c r="CM11" i="3" s="1"/>
  <c r="CJ11" i="3"/>
  <c r="BO13" i="3"/>
  <c r="BS13" i="3"/>
  <c r="BW13" i="3"/>
  <c r="W13" i="3" s="1"/>
  <c r="CI13" i="3"/>
  <c r="CM13" i="3" s="1"/>
  <c r="CJ13" i="3"/>
  <c r="BN13" i="3"/>
  <c r="BN275" i="3"/>
  <c r="CI275" i="3"/>
  <c r="CM275" i="3" s="1"/>
  <c r="BO275" i="3"/>
  <c r="BP275" i="3" s="1"/>
  <c r="BQ275" i="3" s="1"/>
  <c r="BR275" i="3" s="1"/>
  <c r="BS275" i="3"/>
  <c r="BW275" i="3"/>
  <c r="W275" i="3" s="1"/>
  <c r="CJ275" i="3"/>
  <c r="BN268" i="3"/>
  <c r="CI268" i="3"/>
  <c r="CM268" i="3" s="1"/>
  <c r="BO268" i="3"/>
  <c r="BS268" i="3"/>
  <c r="BW268" i="3"/>
  <c r="W268" i="3" s="1"/>
  <c r="CJ268" i="3"/>
  <c r="BN76" i="3"/>
  <c r="CI76" i="3"/>
  <c r="CM76" i="3" s="1"/>
  <c r="BO76" i="3"/>
  <c r="BS76" i="3"/>
  <c r="BT76" i="3" s="1"/>
  <c r="BU76" i="3" s="1"/>
  <c r="BV76" i="3" s="1"/>
  <c r="BW76" i="3"/>
  <c r="W76" i="3" s="1"/>
  <c r="CJ76" i="3"/>
  <c r="BN30" i="3"/>
  <c r="BS30" i="3"/>
  <c r="BW30" i="3"/>
  <c r="W30" i="3" s="1"/>
  <c r="CI30" i="3"/>
  <c r="CM30" i="3" s="1"/>
  <c r="CJ30" i="3"/>
  <c r="BO30" i="3"/>
  <c r="BP30" i="3" s="1"/>
  <c r="BQ30" i="3" s="1"/>
  <c r="BR30" i="3" s="1"/>
  <c r="BN78" i="3"/>
  <c r="CI78" i="3"/>
  <c r="CM78" i="3" s="1"/>
  <c r="BO78" i="3"/>
  <c r="BS78" i="3"/>
  <c r="BW78" i="3"/>
  <c r="W78" i="3" s="1"/>
  <c r="CJ78" i="3"/>
  <c r="BP161" i="3"/>
  <c r="BQ161" i="3"/>
  <c r="BR161" i="3" s="1"/>
  <c r="BP263" i="3"/>
  <c r="BQ263" i="3"/>
  <c r="BR263" i="3" s="1"/>
  <c r="V263" i="3" s="1"/>
  <c r="BP178" i="3"/>
  <c r="BQ178" i="3"/>
  <c r="BR178" i="3" s="1"/>
  <c r="BT182" i="3"/>
  <c r="BU182" i="3" s="1"/>
  <c r="BV182" i="3" s="1"/>
  <c r="BT186" i="3"/>
  <c r="BU186" i="3" s="1"/>
  <c r="BV186" i="3" s="1"/>
  <c r="BT190" i="3"/>
  <c r="BU190" i="3" s="1"/>
  <c r="BV190" i="3" s="1"/>
  <c r="BT194" i="3"/>
  <c r="BU194" i="3" s="1"/>
  <c r="BV194" i="3" s="1"/>
  <c r="BT198" i="3"/>
  <c r="BU198" i="3" s="1"/>
  <c r="BV198" i="3" s="1"/>
  <c r="BT203" i="3"/>
  <c r="BU203" i="3" s="1"/>
  <c r="BV203" i="3" s="1"/>
  <c r="BP207" i="3"/>
  <c r="BQ207" i="3"/>
  <c r="BR207" i="3" s="1"/>
  <c r="BT207" i="3"/>
  <c r="BU207" i="3" s="1"/>
  <c r="BV207" i="3" s="1"/>
  <c r="BQ211" i="3"/>
  <c r="BR211" i="3" s="1"/>
  <c r="V211" i="3" s="1"/>
  <c r="BP211" i="3"/>
  <c r="BQ218" i="3"/>
  <c r="BR218" i="3" s="1"/>
  <c r="BP218" i="3"/>
  <c r="BQ227" i="3"/>
  <c r="BR227" i="3" s="1"/>
  <c r="V227" i="3" s="1"/>
  <c r="BP227" i="3"/>
  <c r="BP231" i="3"/>
  <c r="BQ231" i="3"/>
  <c r="BR231" i="3" s="1"/>
  <c r="BT240" i="3"/>
  <c r="BU240" i="3"/>
  <c r="BV240" i="3" s="1"/>
  <c r="V240" i="3" s="1"/>
  <c r="BQ86" i="3"/>
  <c r="BR86" i="3" s="1"/>
  <c r="U86" i="3" s="1"/>
  <c r="BP86" i="3"/>
  <c r="BQ95" i="3"/>
  <c r="BR95" i="3" s="1"/>
  <c r="BP95" i="3"/>
  <c r="BP103" i="3"/>
  <c r="BQ103" i="3"/>
  <c r="BR103" i="3" s="1"/>
  <c r="BT107" i="3"/>
  <c r="BU107" i="3"/>
  <c r="BV107" i="3" s="1"/>
  <c r="BP111" i="3"/>
  <c r="BQ111" i="3"/>
  <c r="BR111" i="3" s="1"/>
  <c r="U111" i="3" s="1"/>
  <c r="BT115" i="3"/>
  <c r="BU115" i="3"/>
  <c r="BV115" i="3" s="1"/>
  <c r="BQ123" i="3"/>
  <c r="BR123" i="3" s="1"/>
  <c r="V123" i="3" s="1"/>
  <c r="BP123" i="3"/>
  <c r="BT236" i="3"/>
  <c r="BU236" i="3"/>
  <c r="BV236" i="3" s="1"/>
  <c r="BP239" i="3"/>
  <c r="BQ239" i="3"/>
  <c r="BR239" i="3" s="1"/>
  <c r="U239" i="3" s="1"/>
  <c r="BT243" i="3"/>
  <c r="BU243" i="3" s="1"/>
  <c r="BV243" i="3" s="1"/>
  <c r="U243" i="3" s="1"/>
  <c r="BP267" i="3"/>
  <c r="BQ267" i="3"/>
  <c r="BR267" i="3" s="1"/>
  <c r="U267" i="3" s="1"/>
  <c r="BU289" i="3"/>
  <c r="BV289" i="3" s="1"/>
  <c r="V289" i="3" s="1"/>
  <c r="BT289" i="3"/>
  <c r="BP32" i="3"/>
  <c r="BQ32" i="3"/>
  <c r="BR32" i="3" s="1"/>
  <c r="U32" i="3" s="1"/>
  <c r="BP36" i="3"/>
  <c r="BQ36" i="3" s="1"/>
  <c r="BR36" i="3" s="1"/>
  <c r="BU290" i="3"/>
  <c r="BV290" i="3" s="1"/>
  <c r="BT290" i="3"/>
  <c r="BT269" i="3"/>
  <c r="BU269" i="3"/>
  <c r="BV269" i="3" s="1"/>
  <c r="BP77" i="3"/>
  <c r="BQ77" i="3"/>
  <c r="BR77" i="3" s="1"/>
  <c r="BP276" i="3"/>
  <c r="BQ276" i="3"/>
  <c r="BR276" i="3" s="1"/>
  <c r="BP31" i="3"/>
  <c r="BQ31" i="3"/>
  <c r="BR31" i="3" s="1"/>
  <c r="U31" i="3" s="1"/>
  <c r="BT81" i="3"/>
  <c r="BU81" i="3" s="1"/>
  <c r="BV81" i="3" s="1"/>
  <c r="U81" i="3" s="1"/>
  <c r="BT104" i="3"/>
  <c r="BU104" i="3" s="1"/>
  <c r="BV104" i="3" s="1"/>
  <c r="V104" i="3" s="1"/>
  <c r="BQ94" i="3"/>
  <c r="BR94" i="3" s="1"/>
  <c r="V94" i="3" s="1"/>
  <c r="BP94" i="3"/>
  <c r="BT131" i="3"/>
  <c r="BU131" i="3" s="1"/>
  <c r="BV131" i="3" s="1"/>
  <c r="V131" i="3" s="1"/>
  <c r="BT259" i="3"/>
  <c r="BU259" i="3"/>
  <c r="BV259" i="3" s="1"/>
  <c r="V259" i="3" s="1"/>
  <c r="BQ21" i="3"/>
  <c r="BR21" i="3" s="1"/>
  <c r="BP21" i="3"/>
  <c r="BP25" i="3"/>
  <c r="BQ25" i="3"/>
  <c r="BR25" i="3" s="1"/>
  <c r="BP40" i="3"/>
  <c r="BQ40" i="3" s="1"/>
  <c r="BR40" i="3" s="1"/>
  <c r="BT43" i="3"/>
  <c r="BU43" i="3"/>
  <c r="BV43" i="3" s="1"/>
  <c r="BP49" i="3"/>
  <c r="BQ49" i="3"/>
  <c r="BR49" i="3" s="1"/>
  <c r="BT22" i="3"/>
  <c r="BU22" i="3"/>
  <c r="BV22" i="3" s="1"/>
  <c r="BP24" i="3"/>
  <c r="BQ24" i="3"/>
  <c r="BR24" i="3" s="1"/>
  <c r="V24" i="3" s="1"/>
  <c r="BP37" i="3"/>
  <c r="BQ37" i="3" s="1"/>
  <c r="BR37" i="3" s="1"/>
  <c r="BP39" i="3"/>
  <c r="BQ39" i="3" s="1"/>
  <c r="BR39" i="3" s="1"/>
  <c r="BP41" i="3"/>
  <c r="BQ41" i="3"/>
  <c r="BR41" i="3" s="1"/>
  <c r="BP44" i="3"/>
  <c r="BQ44" i="3"/>
  <c r="BR44" i="3" s="1"/>
  <c r="BP46" i="3"/>
  <c r="BQ46" i="3"/>
  <c r="BR46" i="3" s="1"/>
  <c r="BP48" i="3"/>
  <c r="BQ48" i="3"/>
  <c r="BR48" i="3" s="1"/>
  <c r="BP50" i="3"/>
  <c r="BQ50" i="3"/>
  <c r="BR50" i="3" s="1"/>
  <c r="V50" i="3" s="1"/>
  <c r="BP54" i="3"/>
  <c r="BQ54" i="3" s="1"/>
  <c r="BR54" i="3" s="1"/>
  <c r="BP56" i="3"/>
  <c r="BQ56" i="3"/>
  <c r="BR56" i="3" s="1"/>
  <c r="BP58" i="3"/>
  <c r="BQ58" i="3"/>
  <c r="BR58" i="3" s="1"/>
  <c r="BP60" i="3"/>
  <c r="BQ60" i="3"/>
  <c r="BR60" i="3" s="1"/>
  <c r="BU62" i="3"/>
  <c r="BV62" i="3" s="1"/>
  <c r="BT62" i="3"/>
  <c r="BQ64" i="3"/>
  <c r="BR64" i="3" s="1"/>
  <c r="U64" i="3" s="1"/>
  <c r="BP64" i="3"/>
  <c r="BP142" i="3"/>
  <c r="BQ142" i="3"/>
  <c r="BR142" i="3" s="1"/>
  <c r="BP144" i="3"/>
  <c r="BQ144" i="3"/>
  <c r="BR144" i="3" s="1"/>
  <c r="BT150" i="3"/>
  <c r="BU150" i="3" s="1"/>
  <c r="BV150" i="3" s="1"/>
  <c r="BP152" i="3"/>
  <c r="BQ152" i="3"/>
  <c r="BR152" i="3" s="1"/>
  <c r="BP154" i="3"/>
  <c r="BQ154" i="3"/>
  <c r="BR154" i="3" s="1"/>
  <c r="BT156" i="3"/>
  <c r="BU156" i="3" s="1"/>
  <c r="BV156" i="3" s="1"/>
  <c r="V156" i="3" s="1"/>
  <c r="BP158" i="3"/>
  <c r="BQ158" i="3"/>
  <c r="BR158" i="3" s="1"/>
  <c r="BP160" i="3"/>
  <c r="BQ160" i="3"/>
  <c r="BR160" i="3" s="1"/>
  <c r="BP162" i="3"/>
  <c r="BQ162" i="3"/>
  <c r="BR162" i="3" s="1"/>
  <c r="V162" i="3" s="1"/>
  <c r="BP232" i="3"/>
  <c r="BQ232" i="3"/>
  <c r="BR232" i="3" s="1"/>
  <c r="BT249" i="3"/>
  <c r="BU249" i="3"/>
  <c r="BV249" i="3" s="1"/>
  <c r="BP253" i="3"/>
  <c r="BQ253" i="3"/>
  <c r="BR253" i="3" s="1"/>
  <c r="BT257" i="3"/>
  <c r="BU257" i="3"/>
  <c r="BV257" i="3" s="1"/>
  <c r="BT261" i="3"/>
  <c r="BU261" i="3"/>
  <c r="BV261" i="3" s="1"/>
  <c r="BQ282" i="3"/>
  <c r="BR282" i="3" s="1"/>
  <c r="V282" i="3" s="1"/>
  <c r="BP282" i="3"/>
  <c r="BP6" i="3"/>
  <c r="BQ6" i="3"/>
  <c r="BR6" i="3" s="1"/>
  <c r="U6" i="3" s="1"/>
  <c r="BP71" i="3"/>
  <c r="BQ71" i="3"/>
  <c r="BR71" i="3" s="1"/>
  <c r="BT75" i="3"/>
  <c r="BU75" i="3"/>
  <c r="BV75" i="3" s="1"/>
  <c r="BP169" i="3"/>
  <c r="BQ169" i="3"/>
  <c r="BR169" i="3" s="1"/>
  <c r="BP173" i="3"/>
  <c r="BQ173" i="3"/>
  <c r="BR173" i="3" s="1"/>
  <c r="V173" i="3" s="1"/>
  <c r="BP177" i="3"/>
  <c r="BQ177" i="3"/>
  <c r="BR177" i="3" s="1"/>
  <c r="U177" i="3" s="1"/>
  <c r="BP185" i="3"/>
  <c r="BQ185" i="3"/>
  <c r="BR185" i="3" s="1"/>
  <c r="BP189" i="3"/>
  <c r="BQ189" i="3" s="1"/>
  <c r="BR189" i="3" s="1"/>
  <c r="BP193" i="3"/>
  <c r="BQ193" i="3" s="1"/>
  <c r="BR193" i="3" s="1"/>
  <c r="BP197" i="3"/>
  <c r="BQ197" i="3" s="1"/>
  <c r="BR197" i="3" s="1"/>
  <c r="BP200" i="3"/>
  <c r="BQ200" i="3"/>
  <c r="BR200" i="3" s="1"/>
  <c r="BP204" i="3"/>
  <c r="BQ204" i="3" s="1"/>
  <c r="BR204" i="3" s="1"/>
  <c r="BU208" i="3"/>
  <c r="BV208" i="3" s="1"/>
  <c r="BT208" i="3"/>
  <c r="BQ212" i="3"/>
  <c r="BR212" i="3" s="1"/>
  <c r="BP212" i="3"/>
  <c r="BQ222" i="3"/>
  <c r="BR222" i="3" s="1"/>
  <c r="V222" i="3" s="1"/>
  <c r="BP222" i="3"/>
  <c r="BP248" i="3"/>
  <c r="BQ248" i="3"/>
  <c r="BR248" i="3" s="1"/>
  <c r="BP274" i="3"/>
  <c r="BQ274" i="3"/>
  <c r="BR274" i="3" s="1"/>
  <c r="V274" i="3" s="1"/>
  <c r="BQ284" i="3"/>
  <c r="BR284" i="3" s="1"/>
  <c r="BP284" i="3"/>
  <c r="BT102" i="3"/>
  <c r="BU102" i="3" s="1"/>
  <c r="BV102" i="3" s="1"/>
  <c r="V102" i="3" s="1"/>
  <c r="BP114" i="3"/>
  <c r="BQ114" i="3"/>
  <c r="BR114" i="3" s="1"/>
  <c r="V114" i="3" s="1"/>
  <c r="BP122" i="3"/>
  <c r="BQ122" i="3"/>
  <c r="BR122" i="3" s="1"/>
  <c r="U122" i="3" s="1"/>
  <c r="BT164" i="3"/>
  <c r="BU164" i="3"/>
  <c r="BV164" i="3" s="1"/>
  <c r="BP168" i="3"/>
  <c r="BQ168" i="3"/>
  <c r="BR168" i="3" s="1"/>
  <c r="BT180" i="3"/>
  <c r="BU180" i="3"/>
  <c r="BV180" i="3" s="1"/>
  <c r="BT184" i="3"/>
  <c r="BU184" i="3" s="1"/>
  <c r="BV184" i="3" s="1"/>
  <c r="BT188" i="3"/>
  <c r="BU188" i="3"/>
  <c r="BV188" i="3" s="1"/>
  <c r="BT192" i="3"/>
  <c r="BU192" i="3" s="1"/>
  <c r="BV192" i="3" s="1"/>
  <c r="BT196" i="3"/>
  <c r="BU196" i="3"/>
  <c r="BV196" i="3" s="1"/>
  <c r="BT201" i="3"/>
  <c r="BU201" i="3" s="1"/>
  <c r="BV201" i="3" s="1"/>
  <c r="BT205" i="3"/>
  <c r="BU205" i="3" s="1"/>
  <c r="BV205" i="3" s="1"/>
  <c r="BQ209" i="3"/>
  <c r="BR209" i="3" s="1"/>
  <c r="U209" i="3" s="1"/>
  <c r="BP209" i="3"/>
  <c r="BQ217" i="3"/>
  <c r="BR217" i="3" s="1"/>
  <c r="BP217" i="3"/>
  <c r="BQ225" i="3"/>
  <c r="BR225" i="3" s="1"/>
  <c r="BP225" i="3"/>
  <c r="BU229" i="3"/>
  <c r="BV229" i="3" s="1"/>
  <c r="BT229" i="3"/>
  <c r="BP238" i="3"/>
  <c r="BQ238" i="3"/>
  <c r="BR238" i="3" s="1"/>
  <c r="BP126" i="3"/>
  <c r="BQ126" i="3"/>
  <c r="BR126" i="3" s="1"/>
  <c r="U126" i="3" s="1"/>
  <c r="BP130" i="3"/>
  <c r="BQ130" i="3"/>
  <c r="BR130" i="3" s="1"/>
  <c r="U130" i="3" s="1"/>
  <c r="BP134" i="3"/>
  <c r="BQ134" i="3"/>
  <c r="BR134" i="3" s="1"/>
  <c r="V134" i="3" s="1"/>
  <c r="BP138" i="3"/>
  <c r="BQ138" i="3"/>
  <c r="BR138" i="3" s="1"/>
  <c r="BP233" i="3"/>
  <c r="BQ233" i="3"/>
  <c r="BR233" i="3" s="1"/>
  <c r="V233" i="3" s="1"/>
  <c r="BP89" i="3"/>
  <c r="BQ89" i="3" s="1"/>
  <c r="BR89" i="3" s="1"/>
  <c r="V89" i="3" s="1"/>
  <c r="BQ97" i="3"/>
  <c r="BR97" i="3" s="1"/>
  <c r="BP97" i="3"/>
  <c r="BP101" i="3"/>
  <c r="BQ101" i="3"/>
  <c r="BR101" i="3" s="1"/>
  <c r="BP109" i="3"/>
  <c r="BQ109" i="3"/>
  <c r="BR109" i="3" s="1"/>
  <c r="BT113" i="3"/>
  <c r="BU113" i="3" s="1"/>
  <c r="BV113" i="3" s="1"/>
  <c r="V113" i="3" s="1"/>
  <c r="BP117" i="3"/>
  <c r="BQ117" i="3"/>
  <c r="BR117" i="3" s="1"/>
  <c r="V117" i="3" s="1"/>
  <c r="BQ224" i="3"/>
  <c r="BR224" i="3" s="1"/>
  <c r="BP224" i="3"/>
  <c r="BP237" i="3"/>
  <c r="BQ237" i="3"/>
  <c r="BR237" i="3" s="1"/>
  <c r="U237" i="3" s="1"/>
  <c r="BP241" i="3"/>
  <c r="BQ241" i="3"/>
  <c r="BR241" i="3" s="1"/>
  <c r="BP251" i="3"/>
  <c r="BQ251" i="3"/>
  <c r="BR251" i="3" s="1"/>
  <c r="U251" i="3" s="1"/>
  <c r="BT12" i="3"/>
  <c r="BU12" i="3" s="1"/>
  <c r="BV12" i="3" s="1"/>
  <c r="BP279" i="3"/>
  <c r="BQ279" i="3"/>
  <c r="BR279" i="3" s="1"/>
  <c r="BQ283" i="3"/>
  <c r="BR283" i="3" s="1"/>
  <c r="U283" i="3" s="1"/>
  <c r="BP283" i="3"/>
  <c r="BP35" i="3"/>
  <c r="BQ35" i="3"/>
  <c r="BR35" i="3" s="1"/>
  <c r="BP29" i="3"/>
  <c r="BQ29" i="3"/>
  <c r="BR29" i="3" s="1"/>
  <c r="U29" i="3" s="1"/>
  <c r="BT34" i="3"/>
  <c r="BU34" i="3" s="1"/>
  <c r="BV34" i="3" s="1"/>
  <c r="U34" i="3" s="1"/>
  <c r="BP51" i="3"/>
  <c r="BQ51" i="3"/>
  <c r="BR51" i="3" s="1"/>
  <c r="BP23" i="3"/>
  <c r="BQ23" i="3"/>
  <c r="BR23" i="3" s="1"/>
  <c r="V23" i="3" s="1"/>
  <c r="BP38" i="3"/>
  <c r="BQ38" i="3"/>
  <c r="BR38" i="3" s="1"/>
  <c r="BP42" i="3"/>
  <c r="BQ42" i="3"/>
  <c r="BR42" i="3" s="1"/>
  <c r="BT45" i="3"/>
  <c r="BU45" i="3"/>
  <c r="BV45" i="3" s="1"/>
  <c r="BT47" i="3"/>
  <c r="BU47" i="3"/>
  <c r="BV47" i="3" s="1"/>
  <c r="BP53" i="3"/>
  <c r="BQ53" i="3" s="1"/>
  <c r="BR53" i="3" s="1"/>
  <c r="BP55" i="3"/>
  <c r="BQ55" i="3"/>
  <c r="BR55" i="3" s="1"/>
  <c r="BP57" i="3"/>
  <c r="BQ57" i="3" s="1"/>
  <c r="BR57" i="3" s="1"/>
  <c r="BP59" i="3"/>
  <c r="BQ59" i="3"/>
  <c r="BR59" i="3" s="1"/>
  <c r="BP61" i="3"/>
  <c r="BQ61" i="3"/>
  <c r="BR61" i="3" s="1"/>
  <c r="BP250" i="3"/>
  <c r="BQ250" i="3"/>
  <c r="BR250" i="3" s="1"/>
  <c r="BT254" i="3"/>
  <c r="BU254" i="3"/>
  <c r="BV254" i="3" s="1"/>
  <c r="BP258" i="3"/>
  <c r="BQ258" i="3"/>
  <c r="BR258" i="3" s="1"/>
  <c r="BT262" i="3"/>
  <c r="BU262" i="3"/>
  <c r="BV262" i="3" s="1"/>
  <c r="BT10" i="3"/>
  <c r="BU10" i="3" s="1"/>
  <c r="BV10" i="3" s="1"/>
  <c r="U10" i="3" s="1"/>
  <c r="BP8" i="3"/>
  <c r="BQ8" i="3"/>
  <c r="BR8" i="3" s="1"/>
  <c r="V8" i="3" s="1"/>
  <c r="BP69" i="3"/>
  <c r="BQ69" i="3"/>
  <c r="BR69" i="3" s="1"/>
  <c r="U69" i="3" s="1"/>
  <c r="BT73" i="3"/>
  <c r="BU73" i="3"/>
  <c r="BV73" i="3" s="1"/>
  <c r="BP167" i="3"/>
  <c r="BQ167" i="3"/>
  <c r="BR167" i="3" s="1"/>
  <c r="U167" i="3" s="1"/>
  <c r="BP171" i="3"/>
  <c r="BQ171" i="3"/>
  <c r="BR171" i="3" s="1"/>
  <c r="U171" i="3" s="1"/>
  <c r="BP175" i="3"/>
  <c r="BQ175" i="3"/>
  <c r="BR175" i="3" s="1"/>
  <c r="U175" i="3" s="1"/>
  <c r="BT179" i="3"/>
  <c r="BU179" i="3"/>
  <c r="BV179" i="3" s="1"/>
  <c r="V179" i="3" s="1"/>
  <c r="BP183" i="3"/>
  <c r="BQ183" i="3"/>
  <c r="BR183" i="3" s="1"/>
  <c r="BP187" i="3"/>
  <c r="BQ187" i="3"/>
  <c r="BR187" i="3" s="1"/>
  <c r="BP191" i="3"/>
  <c r="BQ191" i="3" s="1"/>
  <c r="BR191" i="3" s="1"/>
  <c r="BP195" i="3"/>
  <c r="BQ195" i="3" s="1"/>
  <c r="BR195" i="3" s="1"/>
  <c r="BP199" i="3"/>
  <c r="BQ199" i="3"/>
  <c r="BR199" i="3" s="1"/>
  <c r="BP206" i="3"/>
  <c r="BQ206" i="3"/>
  <c r="BR206" i="3" s="1"/>
  <c r="BU210" i="3"/>
  <c r="BV210" i="3" s="1"/>
  <c r="BT210" i="3"/>
  <c r="BT214" i="3"/>
  <c r="BU214" i="3" s="1"/>
  <c r="BV214" i="3" s="1"/>
  <c r="BU216" i="3"/>
  <c r="BV216" i="3" s="1"/>
  <c r="BT216" i="3"/>
  <c r="BT221" i="3"/>
  <c r="BU221" i="3" s="1"/>
  <c r="BV221" i="3" s="1"/>
  <c r="U221" i="3" s="1"/>
  <c r="BP252" i="3"/>
  <c r="BQ252" i="3"/>
  <c r="BR252" i="3" s="1"/>
  <c r="BT260" i="3"/>
  <c r="BU260" i="3" s="1"/>
  <c r="BV260" i="3" s="1"/>
  <c r="V260" i="3" s="1"/>
  <c r="BP280" i="3"/>
  <c r="BQ280" i="3"/>
  <c r="BR280" i="3" s="1"/>
  <c r="BP286" i="3"/>
  <c r="BQ286" i="3" s="1"/>
  <c r="BR286" i="3" s="1"/>
  <c r="V286" i="3" s="1"/>
  <c r="BP270" i="3"/>
  <c r="BQ270" i="3"/>
  <c r="BR270" i="3" s="1"/>
  <c r="U270" i="3" s="1"/>
  <c r="BT79" i="3"/>
  <c r="BU79" i="3"/>
  <c r="BV79" i="3" s="1"/>
  <c r="BT83" i="3"/>
  <c r="BU83" i="3"/>
  <c r="BV83" i="3" s="1"/>
  <c r="V83" i="3" s="1"/>
  <c r="BT87" i="3"/>
  <c r="BU87" i="3" s="1"/>
  <c r="BV87" i="3" s="1"/>
  <c r="BT100" i="3"/>
  <c r="BU100" i="3" s="1"/>
  <c r="BV100" i="3" s="1"/>
  <c r="V100" i="3" s="1"/>
  <c r="BP116" i="3"/>
  <c r="BQ116" i="3" s="1"/>
  <c r="BR116" i="3" s="1"/>
  <c r="BP120" i="3"/>
  <c r="BQ120" i="3"/>
  <c r="BR120" i="3" s="1"/>
  <c r="V120" i="3" s="1"/>
  <c r="BP139" i="3"/>
  <c r="BQ139" i="3"/>
  <c r="BR139" i="3" s="1"/>
  <c r="V139" i="3" s="1"/>
  <c r="BU65" i="3"/>
  <c r="BV65" i="3" s="1"/>
  <c r="BT65" i="3"/>
  <c r="BT112" i="3"/>
  <c r="BU112" i="3" s="1"/>
  <c r="BV112" i="3" s="1"/>
  <c r="V112" i="3" s="1"/>
  <c r="BP110" i="3"/>
  <c r="BQ110" i="3"/>
  <c r="BR110" i="3" s="1"/>
  <c r="AS14" i="3"/>
  <c r="CG14" i="3" s="1"/>
  <c r="CH14" i="3" s="1"/>
  <c r="AM14" i="3" s="1"/>
  <c r="AR14" i="3" s="1"/>
  <c r="BN271" i="3"/>
  <c r="CI271" i="3"/>
  <c r="CM271" i="3" s="1"/>
  <c r="BO271" i="3"/>
  <c r="BP271" i="3" s="1"/>
  <c r="BQ271" i="3" s="1"/>
  <c r="BR271" i="3" s="1"/>
  <c r="BS271" i="3"/>
  <c r="BW271" i="3"/>
  <c r="W271" i="3" s="1"/>
  <c r="CJ271" i="3"/>
  <c r="BO66" i="3"/>
  <c r="BS66" i="3"/>
  <c r="BT66" i="3" s="1"/>
  <c r="BU66" i="3" s="1"/>
  <c r="BV66" i="3" s="1"/>
  <c r="BW66" i="3"/>
  <c r="W66" i="3" s="1"/>
  <c r="BN66" i="3"/>
  <c r="CI66" i="3"/>
  <c r="CM66" i="3" s="1"/>
  <c r="CJ66" i="3"/>
  <c r="BN74" i="3"/>
  <c r="CI74" i="3"/>
  <c r="CM74" i="3" s="1"/>
  <c r="BO74" i="3"/>
  <c r="BS74" i="3"/>
  <c r="BW74" i="3"/>
  <c r="W74" i="3" s="1"/>
  <c r="CJ74" i="3"/>
  <c r="BN70" i="3"/>
  <c r="CI70" i="3"/>
  <c r="CM70" i="3" s="1"/>
  <c r="BO70" i="3"/>
  <c r="BS70" i="3"/>
  <c r="BT70" i="3" s="1"/>
  <c r="BU70" i="3" s="1"/>
  <c r="BV70" i="3" s="1"/>
  <c r="BW70" i="3"/>
  <c r="W70" i="3" s="1"/>
  <c r="CJ70" i="3"/>
  <c r="BT255" i="3"/>
  <c r="BU255" i="3"/>
  <c r="BV255" i="3" s="1"/>
  <c r="V255" i="3" s="1"/>
  <c r="BP182" i="3"/>
  <c r="BQ182" i="3" s="1"/>
  <c r="BR182" i="3" s="1"/>
  <c r="BP186" i="3"/>
  <c r="BQ186" i="3" s="1"/>
  <c r="BR186" i="3" s="1"/>
  <c r="BP190" i="3"/>
  <c r="BQ190" i="3"/>
  <c r="BR190" i="3" s="1"/>
  <c r="BQ223" i="3"/>
  <c r="BR223" i="3" s="1"/>
  <c r="U223" i="3" s="1"/>
  <c r="BP223" i="3"/>
  <c r="BP244" i="3"/>
  <c r="BQ244" i="3"/>
  <c r="BR244" i="3" s="1"/>
  <c r="V244" i="3" s="1"/>
  <c r="BP140" i="3"/>
  <c r="BQ140" i="3"/>
  <c r="BR140" i="3" s="1"/>
  <c r="U140" i="3" s="1"/>
  <c r="BQ91" i="3"/>
  <c r="BR91" i="3" s="1"/>
  <c r="U91" i="3" s="1"/>
  <c r="BP91" i="3"/>
  <c r="BP115" i="3"/>
  <c r="BQ115" i="3"/>
  <c r="BR115" i="3" s="1"/>
  <c r="BQ226" i="3"/>
  <c r="BR226" i="3" s="1"/>
  <c r="BP226" i="3"/>
  <c r="BP80" i="3"/>
  <c r="BQ80" i="3"/>
  <c r="BR80" i="3" s="1"/>
  <c r="V80" i="3" s="1"/>
  <c r="BT27" i="3"/>
  <c r="BU27" i="3"/>
  <c r="BV27" i="3" s="1"/>
  <c r="U27" i="3" s="1"/>
  <c r="BT36" i="3"/>
  <c r="BU36" i="3" s="1"/>
  <c r="BV36" i="3" s="1"/>
  <c r="BQ290" i="3"/>
  <c r="BR290" i="3" s="1"/>
  <c r="BP290" i="3"/>
  <c r="BP269" i="3"/>
  <c r="BQ269" i="3"/>
  <c r="BR269" i="3" s="1"/>
  <c r="BT77" i="3"/>
  <c r="BU77" i="3"/>
  <c r="BV77" i="3" s="1"/>
  <c r="BP85" i="3"/>
  <c r="BQ85" i="3"/>
  <c r="BR85" i="3" s="1"/>
  <c r="U85" i="3" s="1"/>
  <c r="BP108" i="3"/>
  <c r="BQ108" i="3"/>
  <c r="BR108" i="3" s="1"/>
  <c r="V108" i="3" s="1"/>
  <c r="BT118" i="3"/>
  <c r="BU118" i="3" s="1"/>
  <c r="BV118" i="3" s="1"/>
  <c r="V118" i="3" s="1"/>
  <c r="BU21" i="3"/>
  <c r="BV21" i="3" s="1"/>
  <c r="BT21" i="3"/>
  <c r="BT25" i="3"/>
  <c r="BU25" i="3"/>
  <c r="BV25" i="3" s="1"/>
  <c r="BT40" i="3"/>
  <c r="BU40" i="3" s="1"/>
  <c r="BV40" i="3" s="1"/>
  <c r="BP43" i="3"/>
  <c r="BQ43" i="3"/>
  <c r="BR43" i="3" s="1"/>
  <c r="BT20" i="3"/>
  <c r="BU20" i="3"/>
  <c r="BV20" i="3" s="1"/>
  <c r="BQ20" i="3"/>
  <c r="BR20" i="3" s="1"/>
  <c r="BP20" i="3"/>
  <c r="BP22" i="3"/>
  <c r="BQ22" i="3"/>
  <c r="BR22" i="3" s="1"/>
  <c r="BT37" i="3"/>
  <c r="BU37" i="3" s="1"/>
  <c r="BV37" i="3" s="1"/>
  <c r="BT39" i="3"/>
  <c r="BU39" i="3" s="1"/>
  <c r="BV39" i="3" s="1"/>
  <c r="BT41" i="3"/>
  <c r="BU41" i="3" s="1"/>
  <c r="BV41" i="3" s="1"/>
  <c r="BT44" i="3"/>
  <c r="BU44" i="3"/>
  <c r="BV44" i="3" s="1"/>
  <c r="BT46" i="3"/>
  <c r="BU46" i="3"/>
  <c r="BV46" i="3" s="1"/>
  <c r="BT48" i="3"/>
  <c r="BU48" i="3"/>
  <c r="BV48" i="3" s="1"/>
  <c r="BT54" i="3"/>
  <c r="BU54" i="3" s="1"/>
  <c r="BV54" i="3" s="1"/>
  <c r="BT56" i="3"/>
  <c r="BU56" i="3" s="1"/>
  <c r="BV56" i="3" s="1"/>
  <c r="BT58" i="3"/>
  <c r="BU58" i="3" s="1"/>
  <c r="BV58" i="3" s="1"/>
  <c r="BT60" i="3"/>
  <c r="BU60" i="3" s="1"/>
  <c r="BV60" i="3" s="1"/>
  <c r="BQ62" i="3"/>
  <c r="BR62" i="3" s="1"/>
  <c r="BP62" i="3"/>
  <c r="BT142" i="3"/>
  <c r="BU142" i="3"/>
  <c r="BV142" i="3" s="1"/>
  <c r="BT146" i="3"/>
  <c r="BU146" i="3" s="1"/>
  <c r="BV146" i="3" s="1"/>
  <c r="BT148" i="3"/>
  <c r="BU148" i="3" s="1"/>
  <c r="BV148" i="3" s="1"/>
  <c r="BP150" i="3"/>
  <c r="BQ150" i="3"/>
  <c r="BR150" i="3" s="1"/>
  <c r="BT232" i="3"/>
  <c r="BU232" i="3"/>
  <c r="BV232" i="3" s="1"/>
  <c r="BP249" i="3"/>
  <c r="BQ249" i="3"/>
  <c r="BR249" i="3" s="1"/>
  <c r="BT253" i="3"/>
  <c r="BU253" i="3"/>
  <c r="BV253" i="3" s="1"/>
  <c r="BT67" i="3"/>
  <c r="BU67" i="3" s="1"/>
  <c r="BV67" i="3" s="1"/>
  <c r="BT71" i="3"/>
  <c r="BU71" i="3"/>
  <c r="BV71" i="3" s="1"/>
  <c r="BP75" i="3"/>
  <c r="BQ75" i="3"/>
  <c r="BR75" i="3" s="1"/>
  <c r="BT165" i="3"/>
  <c r="BU165" i="3"/>
  <c r="BV165" i="3" s="1"/>
  <c r="BT181" i="3"/>
  <c r="BU181" i="3" s="1"/>
  <c r="BV181" i="3" s="1"/>
  <c r="U181" i="3" s="1"/>
  <c r="BT185" i="3"/>
  <c r="BU185" i="3" s="1"/>
  <c r="BV185" i="3" s="1"/>
  <c r="BT189" i="3"/>
  <c r="BU189" i="3" s="1"/>
  <c r="BV189" i="3" s="1"/>
  <c r="BT193" i="3"/>
  <c r="BU193" i="3"/>
  <c r="BV193" i="3" s="1"/>
  <c r="BT197" i="3"/>
  <c r="BU197" i="3" s="1"/>
  <c r="BV197" i="3" s="1"/>
  <c r="BT200" i="3"/>
  <c r="BU200" i="3" s="1"/>
  <c r="BV200" i="3" s="1"/>
  <c r="BT204" i="3"/>
  <c r="BU204" i="3" s="1"/>
  <c r="BV204" i="3" s="1"/>
  <c r="BQ208" i="3"/>
  <c r="BR208" i="3" s="1"/>
  <c r="BP208" i="3"/>
  <c r="BQ219" i="3"/>
  <c r="BR219" i="3" s="1"/>
  <c r="BP219" i="3"/>
  <c r="BT248" i="3"/>
  <c r="BU248" i="3"/>
  <c r="BV248" i="3" s="1"/>
  <c r="BP256" i="3"/>
  <c r="BQ256" i="3"/>
  <c r="BR256" i="3" s="1"/>
  <c r="BT264" i="3"/>
  <c r="BU264" i="3" s="1"/>
  <c r="BV264" i="3" s="1"/>
  <c r="U264" i="3" s="1"/>
  <c r="BT288" i="3"/>
  <c r="BU288" i="3" s="1"/>
  <c r="BV288" i="3" s="1"/>
  <c r="V288" i="3" s="1"/>
  <c r="BQ96" i="3"/>
  <c r="BR96" i="3" s="1"/>
  <c r="V96" i="3" s="1"/>
  <c r="BP96" i="3"/>
  <c r="BT129" i="3"/>
  <c r="BU129" i="3"/>
  <c r="BV129" i="3" s="1"/>
  <c r="V129" i="3" s="1"/>
  <c r="BP133" i="3"/>
  <c r="BQ133" i="3"/>
  <c r="BR133" i="3" s="1"/>
  <c r="V133" i="3" s="1"/>
  <c r="BP137" i="3"/>
  <c r="BQ137" i="3"/>
  <c r="BR137" i="3" s="1"/>
  <c r="U137" i="3" s="1"/>
  <c r="BP164" i="3"/>
  <c r="BQ164" i="3"/>
  <c r="BR164" i="3" s="1"/>
  <c r="BT168" i="3"/>
  <c r="BU168" i="3"/>
  <c r="BV168" i="3" s="1"/>
  <c r="BP172" i="3"/>
  <c r="BQ172" i="3"/>
  <c r="BR172" i="3" s="1"/>
  <c r="U172" i="3" s="1"/>
  <c r="BP176" i="3"/>
  <c r="BQ176" i="3"/>
  <c r="BR176" i="3" s="1"/>
  <c r="V176" i="3" s="1"/>
  <c r="BP180" i="3"/>
  <c r="BQ180" i="3"/>
  <c r="BR180" i="3" s="1"/>
  <c r="BP184" i="3"/>
  <c r="BQ184" i="3"/>
  <c r="BR184" i="3" s="1"/>
  <c r="BP188" i="3"/>
  <c r="BQ188" i="3"/>
  <c r="BR188" i="3" s="1"/>
  <c r="BP192" i="3"/>
  <c r="BQ192" i="3" s="1"/>
  <c r="BR192" i="3" s="1"/>
  <c r="BP196" i="3"/>
  <c r="BQ196" i="3"/>
  <c r="BR196" i="3" s="1"/>
  <c r="BP201" i="3"/>
  <c r="BQ201" i="3"/>
  <c r="BR201" i="3" s="1"/>
  <c r="BP205" i="3"/>
  <c r="BQ205" i="3"/>
  <c r="BR205" i="3" s="1"/>
  <c r="BQ213" i="3"/>
  <c r="BR213" i="3" s="1"/>
  <c r="BP213" i="3"/>
  <c r="BU217" i="3"/>
  <c r="BV217" i="3" s="1"/>
  <c r="BT217" i="3"/>
  <c r="BQ220" i="3"/>
  <c r="BR220" i="3" s="1"/>
  <c r="BP220" i="3"/>
  <c r="BU225" i="3"/>
  <c r="BV225" i="3" s="1"/>
  <c r="BT225" i="3"/>
  <c r="BQ229" i="3"/>
  <c r="BR229" i="3" s="1"/>
  <c r="BP229" i="3"/>
  <c r="BP235" i="3"/>
  <c r="BQ235" i="3"/>
  <c r="BR235" i="3" s="1"/>
  <c r="BT238" i="3"/>
  <c r="BU238" i="3"/>
  <c r="BV238" i="3" s="1"/>
  <c r="BT7" i="3"/>
  <c r="BU7" i="3" s="1"/>
  <c r="BV7" i="3" s="1"/>
  <c r="BQ93" i="3"/>
  <c r="BR93" i="3" s="1"/>
  <c r="U93" i="3" s="1"/>
  <c r="BP93" i="3"/>
  <c r="BU97" i="3"/>
  <c r="BV97" i="3" s="1"/>
  <c r="BT97" i="3"/>
  <c r="BP105" i="3"/>
  <c r="BQ105" i="3"/>
  <c r="BR105" i="3" s="1"/>
  <c r="V105" i="3" s="1"/>
  <c r="BQ121" i="3"/>
  <c r="BR121" i="3" s="1"/>
  <c r="BP121" i="3"/>
  <c r="BQ228" i="3"/>
  <c r="BR228" i="3" s="1"/>
  <c r="V228" i="3" s="1"/>
  <c r="BP228" i="3"/>
  <c r="BP230" i="3"/>
  <c r="BQ230" i="3"/>
  <c r="BR230" i="3" s="1"/>
  <c r="V230" i="3" s="1"/>
  <c r="BT241" i="3"/>
  <c r="BU241" i="3"/>
  <c r="BV241" i="3" s="1"/>
  <c r="BP245" i="3"/>
  <c r="BQ245" i="3"/>
  <c r="BR245" i="3" s="1"/>
  <c r="U245" i="3" s="1"/>
  <c r="BP12" i="3"/>
  <c r="BQ12" i="3"/>
  <c r="BR12" i="3" s="1"/>
  <c r="BP26" i="3"/>
  <c r="BQ26" i="3"/>
  <c r="BR26" i="3" s="1"/>
  <c r="V26" i="3" s="1"/>
  <c r="BP273" i="3"/>
  <c r="BQ273" i="3"/>
  <c r="BR273" i="3" s="1"/>
  <c r="U273" i="3" s="1"/>
  <c r="BT279" i="3"/>
  <c r="BU279" i="3"/>
  <c r="BV279" i="3" s="1"/>
  <c r="BQ287" i="3"/>
  <c r="BR287" i="3" s="1"/>
  <c r="V287" i="3" s="1"/>
  <c r="BP287" i="3"/>
  <c r="BP28" i="3"/>
  <c r="BQ28" i="3"/>
  <c r="BR28" i="3" s="1"/>
  <c r="V28" i="3" s="1"/>
  <c r="BQ84" i="3"/>
  <c r="BR84" i="3" s="1"/>
  <c r="U84" i="3" s="1"/>
  <c r="BP84" i="3"/>
  <c r="BP265" i="3"/>
  <c r="BQ265" i="3"/>
  <c r="BR265" i="3" s="1"/>
  <c r="V265" i="3" s="1"/>
  <c r="BT19" i="3"/>
  <c r="BU19" i="3" s="1"/>
  <c r="BV19" i="3" s="1"/>
  <c r="U19" i="3" s="1"/>
  <c r="BT38" i="3"/>
  <c r="BU38" i="3" s="1"/>
  <c r="BV38" i="3" s="1"/>
  <c r="BT42" i="3"/>
  <c r="BU42" i="3" s="1"/>
  <c r="BV42" i="3" s="1"/>
  <c r="BP45" i="3"/>
  <c r="BQ45" i="3"/>
  <c r="BR45" i="3" s="1"/>
  <c r="BP47" i="3"/>
  <c r="BQ47" i="3"/>
  <c r="BR47" i="3" s="1"/>
  <c r="BT53" i="3"/>
  <c r="BU53" i="3" s="1"/>
  <c r="BV53" i="3" s="1"/>
  <c r="BT55" i="3"/>
  <c r="BU55" i="3" s="1"/>
  <c r="BV55" i="3" s="1"/>
  <c r="BT57" i="3"/>
  <c r="BU57" i="3" s="1"/>
  <c r="BV57" i="3" s="1"/>
  <c r="BT59" i="3"/>
  <c r="BU59" i="3" s="1"/>
  <c r="BV59" i="3" s="1"/>
  <c r="BQ63" i="3"/>
  <c r="BR63" i="3" s="1"/>
  <c r="BP63" i="3"/>
  <c r="BP143" i="3"/>
  <c r="BQ143" i="3"/>
  <c r="BR143" i="3" s="1"/>
  <c r="BP145" i="3"/>
  <c r="BQ145" i="3"/>
  <c r="BR145" i="3" s="1"/>
  <c r="BP147" i="3"/>
  <c r="BQ147" i="3"/>
  <c r="BR147" i="3" s="1"/>
  <c r="V147" i="3" s="1"/>
  <c r="BP149" i="3"/>
  <c r="BQ149" i="3"/>
  <c r="BR149" i="3" s="1"/>
  <c r="V149" i="3" s="1"/>
  <c r="BP151" i="3"/>
  <c r="BQ151" i="3"/>
  <c r="BR151" i="3" s="1"/>
  <c r="BP153" i="3"/>
  <c r="BQ153" i="3"/>
  <c r="BR153" i="3" s="1"/>
  <c r="BT155" i="3"/>
  <c r="BU155" i="3" s="1"/>
  <c r="BV155" i="3" s="1"/>
  <c r="BP157" i="3"/>
  <c r="BQ157" i="3"/>
  <c r="BR157" i="3" s="1"/>
  <c r="V157" i="3" s="1"/>
  <c r="BP159" i="3"/>
  <c r="BQ159" i="3"/>
  <c r="BR159" i="3" s="1"/>
  <c r="BP163" i="3"/>
  <c r="BQ163" i="3"/>
  <c r="BR163" i="3" s="1"/>
  <c r="V163" i="3" s="1"/>
  <c r="BP246" i="3"/>
  <c r="BQ246" i="3"/>
  <c r="BR246" i="3" s="1"/>
  <c r="U246" i="3" s="1"/>
  <c r="BP254" i="3"/>
  <c r="BQ254" i="3"/>
  <c r="BR254" i="3" s="1"/>
  <c r="BT258" i="3"/>
  <c r="BU258" i="3"/>
  <c r="BV258" i="3" s="1"/>
  <c r="BP262" i="3"/>
  <c r="BQ262" i="3"/>
  <c r="BR262" i="3" s="1"/>
  <c r="BP73" i="3"/>
  <c r="BQ73" i="3"/>
  <c r="BR73" i="3" s="1"/>
  <c r="BT183" i="3"/>
  <c r="BU183" i="3" s="1"/>
  <c r="BV183" i="3" s="1"/>
  <c r="BT187" i="3"/>
  <c r="BU187" i="3" s="1"/>
  <c r="BV187" i="3" s="1"/>
  <c r="BT191" i="3"/>
  <c r="BU191" i="3" s="1"/>
  <c r="BV191" i="3" s="1"/>
  <c r="BT195" i="3"/>
  <c r="BU195" i="3"/>
  <c r="BV195" i="3" s="1"/>
  <c r="BT199" i="3"/>
  <c r="BU199" i="3" s="1"/>
  <c r="BV199" i="3" s="1"/>
  <c r="BT206" i="3"/>
  <c r="BU206" i="3"/>
  <c r="BV206" i="3" s="1"/>
  <c r="BQ210" i="3"/>
  <c r="BR210" i="3" s="1"/>
  <c r="BP210" i="3"/>
  <c r="BP234" i="3"/>
  <c r="BQ234" i="3"/>
  <c r="BR234" i="3" s="1"/>
  <c r="V234" i="3" s="1"/>
  <c r="BT252" i="3"/>
  <c r="BU252" i="3"/>
  <c r="BV252" i="3" s="1"/>
  <c r="BP272" i="3"/>
  <c r="BQ272" i="3"/>
  <c r="BR272" i="3" s="1"/>
  <c r="U272" i="3" s="1"/>
  <c r="BT280" i="3"/>
  <c r="BU280" i="3"/>
  <c r="BV280" i="3" s="1"/>
  <c r="BP79" i="3"/>
  <c r="BQ79" i="3"/>
  <c r="BR79" i="3" s="1"/>
  <c r="BP87" i="3"/>
  <c r="BQ87" i="3"/>
  <c r="BR87" i="3" s="1"/>
  <c r="BT90" i="3"/>
  <c r="BU90" i="3" s="1"/>
  <c r="BV90" i="3" s="1"/>
  <c r="V90" i="3" s="1"/>
  <c r="BT116" i="3"/>
  <c r="BU116" i="3" s="1"/>
  <c r="BV116" i="3" s="1"/>
  <c r="BP127" i="3"/>
  <c r="BQ127" i="3"/>
  <c r="BR127" i="3" s="1"/>
  <c r="U127" i="3" s="1"/>
  <c r="BP135" i="3"/>
  <c r="BQ135" i="3"/>
  <c r="BR135" i="3" s="1"/>
  <c r="V135" i="3" s="1"/>
  <c r="BT166" i="3"/>
  <c r="BU166" i="3" s="1"/>
  <c r="BV166" i="3" s="1"/>
  <c r="BQ65" i="3"/>
  <c r="BR65" i="3" s="1"/>
  <c r="BP65" i="3"/>
  <c r="BP266" i="3"/>
  <c r="BQ266" i="3"/>
  <c r="BR266" i="3" s="1"/>
  <c r="U266" i="3" s="1"/>
  <c r="BQ88" i="3"/>
  <c r="BR88" i="3" s="1"/>
  <c r="V88" i="3" s="1"/>
  <c r="BP88" i="3"/>
  <c r="BT110" i="3"/>
  <c r="BU110" i="3"/>
  <c r="BV110" i="3" s="1"/>
  <c r="BT202" i="3"/>
  <c r="BU202" i="3" s="1"/>
  <c r="BV202" i="3" s="1"/>
  <c r="BP202" i="3"/>
  <c r="BQ202" i="3"/>
  <c r="BR202" i="3" s="1"/>
  <c r="V170" i="3"/>
  <c r="BH14" i="3" l="1"/>
  <c r="BJ14" i="3" s="1"/>
  <c r="BL14" i="3" s="1"/>
  <c r="BM14" i="3" s="1"/>
  <c r="AY14" i="3"/>
  <c r="AV190" i="3"/>
  <c r="CL78" i="3"/>
  <c r="CK78" i="3"/>
  <c r="CL70" i="3"/>
  <c r="CK70" i="3"/>
  <c r="CL11" i="3"/>
  <c r="CK11" i="3"/>
  <c r="CL33" i="3"/>
  <c r="CK33" i="3"/>
  <c r="CL68" i="3"/>
  <c r="CK68" i="3"/>
  <c r="CL275" i="3"/>
  <c r="CK275" i="3"/>
  <c r="CL66" i="3"/>
  <c r="CK66" i="3"/>
  <c r="CL268" i="3"/>
  <c r="CK268" i="3"/>
  <c r="CL82" i="3"/>
  <c r="CK82" i="3"/>
  <c r="CL98" i="3"/>
  <c r="CK98" i="3"/>
  <c r="CL72" i="3"/>
  <c r="CK72" i="3"/>
  <c r="V267" i="3"/>
  <c r="CK271" i="3"/>
  <c r="CL271" i="3"/>
  <c r="CL74" i="3"/>
  <c r="CK74" i="3"/>
  <c r="CL9" i="3"/>
  <c r="CK9" i="3"/>
  <c r="CL30" i="3"/>
  <c r="CK30" i="3"/>
  <c r="CL76" i="3"/>
  <c r="CK76" i="3"/>
  <c r="CL13" i="3"/>
  <c r="CK13" i="3"/>
  <c r="CL52" i="3"/>
  <c r="CK52" i="3"/>
  <c r="U203" i="3"/>
  <c r="U124" i="3"/>
  <c r="V124" i="3"/>
  <c r="U92" i="3"/>
  <c r="V92" i="3"/>
  <c r="U104" i="3"/>
  <c r="V239" i="3"/>
  <c r="AD236" i="3"/>
  <c r="U281" i="3"/>
  <c r="U62" i="3"/>
  <c r="AD255" i="3"/>
  <c r="U277" i="3"/>
  <c r="U248" i="3"/>
  <c r="U200" i="3"/>
  <c r="V10" i="3"/>
  <c r="U289" i="3"/>
  <c r="U114" i="3"/>
  <c r="U255" i="3"/>
  <c r="V290" i="3"/>
  <c r="V32" i="3"/>
  <c r="V270" i="3"/>
  <c r="U131" i="3"/>
  <c r="U118" i="3"/>
  <c r="V269" i="3"/>
  <c r="AD12" i="3"/>
  <c r="AD102" i="3"/>
  <c r="U288" i="3"/>
  <c r="U176" i="3"/>
  <c r="V29" i="3"/>
  <c r="AD283" i="3"/>
  <c r="AS283" i="3" s="1"/>
  <c r="AD289" i="3"/>
  <c r="AD243" i="3"/>
  <c r="AS243" i="3" s="1"/>
  <c r="CG243" i="3" s="1"/>
  <c r="CH243" i="3" s="1"/>
  <c r="AM243" i="3" s="1"/>
  <c r="V276" i="3"/>
  <c r="AD92" i="3"/>
  <c r="AD124" i="3"/>
  <c r="AD267" i="3"/>
  <c r="AS267" i="3" s="1"/>
  <c r="CG267" i="3" s="1"/>
  <c r="CH267" i="3" s="1"/>
  <c r="AM267" i="3" s="1"/>
  <c r="AD106" i="3"/>
  <c r="AS106" i="3" s="1"/>
  <c r="CG106" i="3" s="1"/>
  <c r="CH106" i="3" s="1"/>
  <c r="AD290" i="3"/>
  <c r="U83" i="3"/>
  <c r="V106" i="3"/>
  <c r="V245" i="3"/>
  <c r="V31" i="3"/>
  <c r="V81" i="3"/>
  <c r="V278" i="3"/>
  <c r="U94" i="3"/>
  <c r="V237" i="3"/>
  <c r="V283" i="3"/>
  <c r="U112" i="3"/>
  <c r="U102" i="3"/>
  <c r="U259" i="3"/>
  <c r="U120" i="3"/>
  <c r="V73" i="3"/>
  <c r="U254" i="3"/>
  <c r="U241" i="3"/>
  <c r="U129" i="3"/>
  <c r="U116" i="3"/>
  <c r="U87" i="3"/>
  <c r="V79" i="3"/>
  <c r="V38" i="3"/>
  <c r="AD273" i="3"/>
  <c r="AS273" i="3" s="1"/>
  <c r="CG273" i="3" s="1"/>
  <c r="CH273" i="3" s="1"/>
  <c r="AD245" i="3"/>
  <c r="AS245" i="3" s="1"/>
  <c r="V264" i="3"/>
  <c r="U139" i="3"/>
  <c r="V34" i="3"/>
  <c r="U290" i="3"/>
  <c r="U274" i="3"/>
  <c r="U110" i="3"/>
  <c r="U188" i="3"/>
  <c r="AD263" i="3"/>
  <c r="AD114" i="3"/>
  <c r="AD281" i="3"/>
  <c r="U279" i="3"/>
  <c r="AD284" i="3"/>
  <c r="U286" i="3"/>
  <c r="V6" i="3"/>
  <c r="V122" i="3"/>
  <c r="AT14" i="3"/>
  <c r="AZ14" i="3" s="1"/>
  <c r="V210" i="3"/>
  <c r="U183" i="3"/>
  <c r="AD36" i="3"/>
  <c r="V91" i="3"/>
  <c r="V279" i="3"/>
  <c r="V58" i="3"/>
  <c r="U22" i="3"/>
  <c r="U276" i="3"/>
  <c r="U96" i="3"/>
  <c r="AD77" i="3"/>
  <c r="AD272" i="3"/>
  <c r="AS272" i="3" s="1"/>
  <c r="CG272" i="3" s="1"/>
  <c r="CH272" i="3" s="1"/>
  <c r="AD241" i="3"/>
  <c r="AD137" i="3"/>
  <c r="AS137" i="3" s="1"/>
  <c r="CG137" i="3" s="1"/>
  <c r="CH137" i="3" s="1"/>
  <c r="U157" i="3"/>
  <c r="V273" i="3"/>
  <c r="V137" i="3"/>
  <c r="U287" i="3"/>
  <c r="V127" i="3"/>
  <c r="AD259" i="3"/>
  <c r="AD131" i="3"/>
  <c r="V266" i="3"/>
  <c r="AD270" i="3"/>
  <c r="AS270" i="3" s="1"/>
  <c r="CG270" i="3" s="1"/>
  <c r="CH270" i="3" s="1"/>
  <c r="AD81" i="3"/>
  <c r="AS81" i="3" s="1"/>
  <c r="CG81" i="3" s="1"/>
  <c r="CH81" i="3" s="1"/>
  <c r="AM81" i="3" s="1"/>
  <c r="AD85" i="3"/>
  <c r="AS85" i="3" s="1"/>
  <c r="CG85" i="3" s="1"/>
  <c r="CH85" i="3" s="1"/>
  <c r="AD269" i="3"/>
  <c r="AD32" i="3"/>
  <c r="AS32" i="3" s="1"/>
  <c r="CG32" i="3" s="1"/>
  <c r="CH32" i="3" s="1"/>
  <c r="AM32" i="3" s="1"/>
  <c r="AD277" i="3"/>
  <c r="U133" i="3"/>
  <c r="V172" i="3"/>
  <c r="AD90" i="3"/>
  <c r="V116" i="3"/>
  <c r="U24" i="3"/>
  <c r="AD129" i="3"/>
  <c r="AD27" i="3"/>
  <c r="AS27" i="3" s="1"/>
  <c r="AD239" i="3"/>
  <c r="AS239" i="3" s="1"/>
  <c r="CG239" i="3" s="1"/>
  <c r="CH239" i="3" s="1"/>
  <c r="AD10" i="3"/>
  <c r="AS10" i="3" s="1"/>
  <c r="CG10" i="3" s="1"/>
  <c r="CH10" i="3" s="1"/>
  <c r="V258" i="3"/>
  <c r="V217" i="3"/>
  <c r="V236" i="3"/>
  <c r="U77" i="3"/>
  <c r="V110" i="3"/>
  <c r="U21" i="3"/>
  <c r="V272" i="3"/>
  <c r="V167" i="3"/>
  <c r="V27" i="3"/>
  <c r="U263" i="3"/>
  <c r="U236" i="3"/>
  <c r="V243" i="3"/>
  <c r="U28" i="3"/>
  <c r="V77" i="3"/>
  <c r="U182" i="3"/>
  <c r="AD280" i="3"/>
  <c r="AD287" i="3"/>
  <c r="AD96" i="3"/>
  <c r="AD274" i="3"/>
  <c r="AD285" i="3"/>
  <c r="U280" i="3"/>
  <c r="U206" i="3"/>
  <c r="AD133" i="3"/>
  <c r="AD288" i="3"/>
  <c r="AD264" i="3"/>
  <c r="AS264" i="3" s="1"/>
  <c r="CG264" i="3" s="1"/>
  <c r="CH264" i="3" s="1"/>
  <c r="AD140" i="3"/>
  <c r="AS140" i="3" s="1"/>
  <c r="CG140" i="3" s="1"/>
  <c r="CH140" i="3" s="1"/>
  <c r="AD116" i="3"/>
  <c r="AD100" i="3"/>
  <c r="AD87" i="3"/>
  <c r="AD79" i="3"/>
  <c r="AD286" i="3"/>
  <c r="AD51" i="3"/>
  <c r="AD35" i="3"/>
  <c r="AD135" i="3"/>
  <c r="U265" i="3"/>
  <c r="U79" i="3"/>
  <c r="U135" i="3"/>
  <c r="V140" i="3"/>
  <c r="U90" i="3"/>
  <c r="V87" i="3"/>
  <c r="V85" i="3"/>
  <c r="U269" i="3"/>
  <c r="U100" i="3"/>
  <c r="U65" i="3"/>
  <c r="V187" i="3"/>
  <c r="AD110" i="3"/>
  <c r="U36" i="3"/>
  <c r="AS36" i="3" s="1"/>
  <c r="V36" i="3"/>
  <c r="V241" i="3"/>
  <c r="U88" i="3"/>
  <c r="AD88" i="3"/>
  <c r="V186" i="3"/>
  <c r="V191" i="3"/>
  <c r="V57" i="3"/>
  <c r="V184" i="3"/>
  <c r="V65" i="3"/>
  <c r="V195" i="3"/>
  <c r="V53" i="3"/>
  <c r="U205" i="3"/>
  <c r="U192" i="3"/>
  <c r="V204" i="3"/>
  <c r="V189" i="3"/>
  <c r="U207" i="3"/>
  <c r="U12" i="3"/>
  <c r="AS12" i="3" s="1"/>
  <c r="CG12" i="3" s="1"/>
  <c r="CH12" i="3" s="1"/>
  <c r="V12" i="3"/>
  <c r="BP74" i="3"/>
  <c r="BQ74" i="3"/>
  <c r="BR74" i="3" s="1"/>
  <c r="BQ66" i="3"/>
  <c r="BR66" i="3" s="1"/>
  <c r="V66" i="3" s="1"/>
  <c r="BP66" i="3"/>
  <c r="BT78" i="3"/>
  <c r="BU78" i="3"/>
  <c r="BV78" i="3" s="1"/>
  <c r="BP76" i="3"/>
  <c r="BQ76" i="3"/>
  <c r="BR76" i="3" s="1"/>
  <c r="V76" i="3" s="1"/>
  <c r="BT268" i="3"/>
  <c r="BU268" i="3"/>
  <c r="BV268" i="3" s="1"/>
  <c r="BP13" i="3"/>
  <c r="BQ13" i="3" s="1"/>
  <c r="BR13" i="3" s="1"/>
  <c r="BP11" i="3"/>
  <c r="BQ11" i="3"/>
  <c r="BR11" i="3" s="1"/>
  <c r="V11" i="3" s="1"/>
  <c r="BT98" i="3"/>
  <c r="BU98" i="3"/>
  <c r="BV98" i="3" s="1"/>
  <c r="BP82" i="3"/>
  <c r="BQ82" i="3"/>
  <c r="BR82" i="3" s="1"/>
  <c r="U82" i="3" s="1"/>
  <c r="BT33" i="3"/>
  <c r="BU33" i="3"/>
  <c r="BV33" i="3" s="1"/>
  <c r="U33" i="3" s="1"/>
  <c r="BP72" i="3"/>
  <c r="BQ72" i="3"/>
  <c r="BR72" i="3" s="1"/>
  <c r="BP70" i="3"/>
  <c r="BQ70" i="3"/>
  <c r="BR70" i="3" s="1"/>
  <c r="U70" i="3" s="1"/>
  <c r="BT74" i="3"/>
  <c r="BU74" i="3"/>
  <c r="BV74" i="3" s="1"/>
  <c r="BT271" i="3"/>
  <c r="BU271" i="3" s="1"/>
  <c r="BV271" i="3" s="1"/>
  <c r="U271" i="3" s="1"/>
  <c r="V280" i="3"/>
  <c r="BP78" i="3"/>
  <c r="BQ78" i="3"/>
  <c r="BR78" i="3" s="1"/>
  <c r="BT30" i="3"/>
  <c r="BU30" i="3" s="1"/>
  <c r="BV30" i="3" s="1"/>
  <c r="BP268" i="3"/>
  <c r="BQ268" i="3"/>
  <c r="BR268" i="3" s="1"/>
  <c r="BT275" i="3"/>
  <c r="BU275" i="3"/>
  <c r="BV275" i="3" s="1"/>
  <c r="BT13" i="3"/>
  <c r="BU13" i="3"/>
  <c r="BV13" i="3" s="1"/>
  <c r="BP98" i="3"/>
  <c r="BQ98" i="3" s="1"/>
  <c r="BR98" i="3" s="1"/>
  <c r="BP68" i="3"/>
  <c r="BQ68" i="3" s="1"/>
  <c r="BR68" i="3" s="1"/>
  <c r="V68" i="3" s="1"/>
  <c r="BT72" i="3"/>
  <c r="BU72" i="3"/>
  <c r="BV72" i="3" s="1"/>
  <c r="BP52" i="3"/>
  <c r="BQ52" i="3"/>
  <c r="BR52" i="3" s="1"/>
  <c r="BT9" i="3"/>
  <c r="BU9" i="3"/>
  <c r="BV9" i="3" s="1"/>
  <c r="AD139" i="3"/>
  <c r="AD122" i="3"/>
  <c r="AS122" i="3" s="1"/>
  <c r="CG122" i="3" s="1"/>
  <c r="CH122" i="3" s="1"/>
  <c r="AM122" i="3" s="1"/>
  <c r="U228" i="3"/>
  <c r="AD83" i="3"/>
  <c r="AD94" i="3"/>
  <c r="AD279" i="3"/>
  <c r="AD265" i="3"/>
  <c r="AD104" i="3"/>
  <c r="AD276" i="3"/>
  <c r="AD278" i="3"/>
  <c r="AS278" i="3" s="1"/>
  <c r="CG278" i="3" s="1"/>
  <c r="CH278" i="3" s="1"/>
  <c r="AD237" i="3"/>
  <c r="AS237" i="3" s="1"/>
  <c r="U108" i="3"/>
  <c r="U170" i="3"/>
  <c r="U285" i="3"/>
  <c r="V285" i="3"/>
  <c r="V284" i="3"/>
  <c r="U284" i="3"/>
  <c r="AD251" i="3"/>
  <c r="AS251" i="3" s="1"/>
  <c r="CG251" i="3" s="1"/>
  <c r="CH251" i="3" s="1"/>
  <c r="AD250" i="3"/>
  <c r="V223" i="3"/>
  <c r="AD112" i="3"/>
  <c r="AD266" i="3"/>
  <c r="AS266" i="3" s="1"/>
  <c r="CG266" i="3" s="1"/>
  <c r="CH266" i="3" s="1"/>
  <c r="V71" i="3"/>
  <c r="U168" i="3"/>
  <c r="AD31" i="3"/>
  <c r="AS31" i="3" s="1"/>
  <c r="AD108" i="3"/>
  <c r="U260" i="3"/>
  <c r="AD120" i="3"/>
  <c r="AD28" i="3"/>
  <c r="U222" i="3"/>
  <c r="V183" i="3"/>
  <c r="AD127" i="3"/>
  <c r="AS127" i="3" s="1"/>
  <c r="CG127" i="3" s="1"/>
  <c r="CH127" i="3" s="1"/>
  <c r="U35" i="3"/>
  <c r="V35" i="3"/>
  <c r="AD34" i="3"/>
  <c r="AS34" i="3" s="1"/>
  <c r="U51" i="3"/>
  <c r="V51" i="3"/>
  <c r="AD29" i="3"/>
  <c r="AS29" i="3" s="1"/>
  <c r="U216" i="3"/>
  <c r="V63" i="3"/>
  <c r="U20" i="3"/>
  <c r="U123" i="3"/>
  <c r="U179" i="3"/>
  <c r="V192" i="3"/>
  <c r="U240" i="3"/>
  <c r="U149" i="3"/>
  <c r="V19" i="3"/>
  <c r="V169" i="3"/>
  <c r="U282" i="3"/>
  <c r="V185" i="3"/>
  <c r="V178" i="3"/>
  <c r="V164" i="3"/>
  <c r="U199" i="3"/>
  <c r="V232" i="3"/>
  <c r="U156" i="3"/>
  <c r="V203" i="3"/>
  <c r="V182" i="3"/>
  <c r="V93" i="3"/>
  <c r="AD48" i="3"/>
  <c r="U196" i="3"/>
  <c r="V175" i="3"/>
  <c r="V242" i="3"/>
  <c r="V43" i="3"/>
  <c r="V25" i="3"/>
  <c r="U147" i="3"/>
  <c r="V75" i="3"/>
  <c r="V229" i="3"/>
  <c r="U208" i="3"/>
  <c r="AD65" i="3"/>
  <c r="V188" i="3"/>
  <c r="U141" i="3"/>
  <c r="U80" i="3"/>
  <c r="AD117" i="3"/>
  <c r="U26" i="3"/>
  <c r="AD247" i="3"/>
  <c r="AS247" i="3" s="1"/>
  <c r="CG247" i="3" s="1"/>
  <c r="CH247" i="3" s="1"/>
  <c r="AD84" i="3"/>
  <c r="AS84" i="3" s="1"/>
  <c r="CG84" i="3" s="1"/>
  <c r="CH84" i="3" s="1"/>
  <c r="V84" i="3"/>
  <c r="AD80" i="3"/>
  <c r="AD26" i="3"/>
  <c r="V177" i="3"/>
  <c r="AD123" i="3"/>
  <c r="AD119" i="3"/>
  <c r="AD91" i="3"/>
  <c r="AD118" i="3"/>
  <c r="AD228" i="3"/>
  <c r="AD224" i="3"/>
  <c r="AD109" i="3"/>
  <c r="AD101" i="3"/>
  <c r="U198" i="3"/>
  <c r="U190" i="3"/>
  <c r="AD97" i="3"/>
  <c r="AD130" i="3"/>
  <c r="AS130" i="3" s="1"/>
  <c r="CG130" i="3" s="1"/>
  <c r="CH130" i="3" s="1"/>
  <c r="V130" i="3"/>
  <c r="U134" i="3"/>
  <c r="V126" i="3"/>
  <c r="AD138" i="3"/>
  <c r="AD132" i="3"/>
  <c r="AD115" i="3"/>
  <c r="U252" i="3"/>
  <c r="U213" i="3"/>
  <c r="V201" i="3"/>
  <c r="V39" i="3"/>
  <c r="U113" i="3"/>
  <c r="AD89" i="3"/>
  <c r="U103" i="3"/>
  <c r="V103" i="3"/>
  <c r="U95" i="3"/>
  <c r="V95" i="3"/>
  <c r="V224" i="3"/>
  <c r="U224" i="3"/>
  <c r="U121" i="3"/>
  <c r="V121" i="3"/>
  <c r="U109" i="3"/>
  <c r="V109" i="3"/>
  <c r="V101" i="3"/>
  <c r="U101" i="3"/>
  <c r="V97" i="3"/>
  <c r="U97" i="3"/>
  <c r="U226" i="3"/>
  <c r="V226" i="3"/>
  <c r="V107" i="3"/>
  <c r="U107" i="3"/>
  <c r="V22" i="3"/>
  <c r="AD226" i="3"/>
  <c r="V251" i="3"/>
  <c r="AD113" i="3"/>
  <c r="V247" i="3"/>
  <c r="V111" i="3"/>
  <c r="AD103" i="3"/>
  <c r="AD95" i="3"/>
  <c r="U230" i="3"/>
  <c r="AD121" i="3"/>
  <c r="U117" i="3"/>
  <c r="U105" i="3"/>
  <c r="AD105" i="3"/>
  <c r="AD93" i="3"/>
  <c r="AS93" i="3" s="1"/>
  <c r="CG93" i="3" s="1"/>
  <c r="CH93" i="3" s="1"/>
  <c r="U89" i="3"/>
  <c r="AD86" i="3"/>
  <c r="AS86" i="3" s="1"/>
  <c r="CG86" i="3" s="1"/>
  <c r="CH86" i="3" s="1"/>
  <c r="V86" i="3"/>
  <c r="V99" i="3"/>
  <c r="U99" i="3"/>
  <c r="U119" i="3"/>
  <c r="V119" i="3"/>
  <c r="V115" i="3"/>
  <c r="U115" i="3"/>
  <c r="U180" i="3"/>
  <c r="AD231" i="3"/>
  <c r="V194" i="3"/>
  <c r="AD217" i="3"/>
  <c r="AD168" i="3"/>
  <c r="V196" i="3"/>
  <c r="U174" i="3"/>
  <c r="AD128" i="3"/>
  <c r="AD111" i="3"/>
  <c r="AS111" i="3" s="1"/>
  <c r="CG111" i="3" s="1"/>
  <c r="CH111" i="3" s="1"/>
  <c r="AD107" i="3"/>
  <c r="AD230" i="3"/>
  <c r="AD99" i="3"/>
  <c r="U238" i="3"/>
  <c r="V238" i="3"/>
  <c r="AD178" i="3"/>
  <c r="V153" i="3"/>
  <c r="U54" i="3"/>
  <c r="U47" i="3"/>
  <c r="U25" i="3"/>
  <c r="AD188" i="3"/>
  <c r="U231" i="3"/>
  <c r="U189" i="3"/>
  <c r="U23" i="3"/>
  <c r="U7" i="3"/>
  <c r="AD244" i="3"/>
  <c r="AD126" i="3"/>
  <c r="AS126" i="3" s="1"/>
  <c r="CG126" i="3" s="1"/>
  <c r="CH126" i="3" s="1"/>
  <c r="U73" i="3"/>
  <c r="AD223" i="3"/>
  <c r="V225" i="3"/>
  <c r="AD203" i="3"/>
  <c r="V138" i="3"/>
  <c r="U138" i="3"/>
  <c r="V261" i="3"/>
  <c r="AD21" i="3"/>
  <c r="AD163" i="3"/>
  <c r="V148" i="3"/>
  <c r="U144" i="3"/>
  <c r="U60" i="3"/>
  <c r="U56" i="3"/>
  <c r="U250" i="3"/>
  <c r="AD49" i="3"/>
  <c r="AD42" i="3"/>
  <c r="U163" i="3"/>
  <c r="AD157" i="3"/>
  <c r="V193" i="3"/>
  <c r="U242" i="3"/>
  <c r="AD238" i="3"/>
  <c r="U235" i="3"/>
  <c r="V209" i="3"/>
  <c r="U186" i="3"/>
  <c r="U229" i="3"/>
  <c r="V168" i="3"/>
  <c r="U136" i="3"/>
  <c r="V125" i="3"/>
  <c r="U233" i="3"/>
  <c r="U132" i="3"/>
  <c r="AD125" i="3"/>
  <c r="AS125" i="3" s="1"/>
  <c r="CG125" i="3" s="1"/>
  <c r="CH125" i="3" s="1"/>
  <c r="V128" i="3"/>
  <c r="U128" i="3"/>
  <c r="V213" i="3"/>
  <c r="U201" i="3"/>
  <c r="V198" i="3"/>
  <c r="U194" i="3"/>
  <c r="V190" i="3"/>
  <c r="V7" i="3"/>
  <c r="AD233" i="3"/>
  <c r="AD134" i="3"/>
  <c r="AD136" i="3"/>
  <c r="V219" i="3"/>
  <c r="U219" i="3"/>
  <c r="U166" i="3"/>
  <c r="V166" i="3"/>
  <c r="V235" i="3"/>
  <c r="V218" i="3"/>
  <c r="U218" i="3"/>
  <c r="V200" i="3"/>
  <c r="U173" i="3"/>
  <c r="U165" i="3"/>
  <c r="AD242" i="3"/>
  <c r="AD215" i="3"/>
  <c r="AD180" i="3"/>
  <c r="AD182" i="3"/>
  <c r="AD229" i="3"/>
  <c r="AD225" i="3"/>
  <c r="AD174" i="3"/>
  <c r="U215" i="3"/>
  <c r="U211" i="3"/>
  <c r="AD7" i="3"/>
  <c r="U184" i="3"/>
  <c r="AD184" i="3"/>
  <c r="U244" i="3"/>
  <c r="V231" i="3"/>
  <c r="U178" i="3"/>
  <c r="U227" i="3"/>
  <c r="AD172" i="3"/>
  <c r="AS172" i="3" s="1"/>
  <c r="CG172" i="3" s="1"/>
  <c r="CH172" i="3" s="1"/>
  <c r="U164" i="3"/>
  <c r="U225" i="3"/>
  <c r="AD166" i="3"/>
  <c r="V220" i="3"/>
  <c r="U220" i="3"/>
  <c r="V47" i="3"/>
  <c r="U42" i="3"/>
  <c r="V249" i="3"/>
  <c r="AD160" i="3"/>
  <c r="AD57" i="3"/>
  <c r="V45" i="3"/>
  <c r="V262" i="3"/>
  <c r="U150" i="3"/>
  <c r="U44" i="3"/>
  <c r="AD39" i="3"/>
  <c r="U37" i="3"/>
  <c r="V202" i="3"/>
  <c r="V199" i="3"/>
  <c r="AD185" i="3"/>
  <c r="AD177" i="3"/>
  <c r="AS177" i="3" s="1"/>
  <c r="CG177" i="3" s="1"/>
  <c r="CH177" i="3" s="1"/>
  <c r="V248" i="3"/>
  <c r="AD69" i="3"/>
  <c r="AS69" i="3" s="1"/>
  <c r="CG69" i="3" s="1"/>
  <c r="CH69" i="3" s="1"/>
  <c r="AD210" i="3"/>
  <c r="V171" i="3"/>
  <c r="AD256" i="3"/>
  <c r="AD222" i="3"/>
  <c r="AD208" i="3"/>
  <c r="AD196" i="3"/>
  <c r="AD192" i="3"/>
  <c r="AD240" i="3"/>
  <c r="AD227" i="3"/>
  <c r="AD220" i="3"/>
  <c r="AD176" i="3"/>
  <c r="AD164" i="3"/>
  <c r="AD218" i="3"/>
  <c r="V180" i="3"/>
  <c r="V205" i="3"/>
  <c r="U217" i="3"/>
  <c r="V207" i="3"/>
  <c r="AD235" i="3"/>
  <c r="AD213" i="3"/>
  <c r="AD209" i="3"/>
  <c r="AS209" i="3" s="1"/>
  <c r="CG209" i="3" s="1"/>
  <c r="CH209" i="3" s="1"/>
  <c r="AD205" i="3"/>
  <c r="AD201" i="3"/>
  <c r="AD198" i="3"/>
  <c r="AD194" i="3"/>
  <c r="AD190" i="3"/>
  <c r="AD186" i="3"/>
  <c r="AD211" i="3"/>
  <c r="AD207" i="3"/>
  <c r="AD170" i="3"/>
  <c r="U152" i="3"/>
  <c r="V152" i="3"/>
  <c r="V154" i="3"/>
  <c r="U154" i="3"/>
  <c r="V214" i="3"/>
  <c r="U214" i="3"/>
  <c r="V67" i="3"/>
  <c r="U67" i="3"/>
  <c r="V143" i="3"/>
  <c r="U143" i="3"/>
  <c r="V197" i="3"/>
  <c r="U197" i="3"/>
  <c r="V256" i="3"/>
  <c r="U169" i="3"/>
  <c r="U212" i="3"/>
  <c r="U148" i="3"/>
  <c r="U142" i="3"/>
  <c r="V60" i="3"/>
  <c r="AD58" i="3"/>
  <c r="V46" i="3"/>
  <c r="U253" i="3"/>
  <c r="U249" i="3"/>
  <c r="V55" i="3"/>
  <c r="V64" i="3"/>
  <c r="AD152" i="3"/>
  <c r="V254" i="3"/>
  <c r="AD148" i="3"/>
  <c r="AD249" i="3"/>
  <c r="U63" i="3"/>
  <c r="AD45" i="3"/>
  <c r="AD38" i="3"/>
  <c r="AD161" i="3"/>
  <c r="AD22" i="3"/>
  <c r="AD20" i="3"/>
  <c r="U185" i="3"/>
  <c r="V252" i="3"/>
  <c r="AD221" i="3"/>
  <c r="U75" i="3"/>
  <c r="AD71" i="3"/>
  <c r="AD197" i="3"/>
  <c r="AD181" i="3"/>
  <c r="AS181" i="3" s="1"/>
  <c r="CG181" i="3" s="1"/>
  <c r="CH181" i="3" s="1"/>
  <c r="AD173" i="3"/>
  <c r="AD165" i="3"/>
  <c r="AD171" i="3"/>
  <c r="AS171" i="3" s="1"/>
  <c r="CG171" i="3" s="1"/>
  <c r="CH171" i="3" s="1"/>
  <c r="U256" i="3"/>
  <c r="AD189" i="3"/>
  <c r="AD8" i="3"/>
  <c r="V208" i="3"/>
  <c r="AD252" i="3"/>
  <c r="U234" i="3"/>
  <c r="V221" i="3"/>
  <c r="U202" i="3"/>
  <c r="AD202" i="3"/>
  <c r="U195" i="3"/>
  <c r="AD195" i="3"/>
  <c r="V181" i="3"/>
  <c r="V165" i="3"/>
  <c r="V216" i="3"/>
  <c r="U210" i="3"/>
  <c r="V206" i="3"/>
  <c r="U191" i="3"/>
  <c r="AD191" i="3"/>
  <c r="U187" i="3"/>
  <c r="AD183" i="3"/>
  <c r="AD175" i="3"/>
  <c r="AD6" i="3"/>
  <c r="AD248" i="3"/>
  <c r="AD219" i="3"/>
  <c r="AD212" i="3"/>
  <c r="V212" i="3"/>
  <c r="AD204" i="3"/>
  <c r="U204" i="3"/>
  <c r="AD193" i="3"/>
  <c r="U193" i="3"/>
  <c r="AD73" i="3"/>
  <c r="V69" i="3"/>
  <c r="U8" i="3"/>
  <c r="U145" i="3"/>
  <c r="U48" i="3"/>
  <c r="AD214" i="3"/>
  <c r="AD200" i="3"/>
  <c r="AD169" i="3"/>
  <c r="AD167" i="3"/>
  <c r="AD260" i="3"/>
  <c r="AD234" i="3"/>
  <c r="AD199" i="3"/>
  <c r="AD75" i="3"/>
  <c r="U71" i="3"/>
  <c r="AD216" i="3"/>
  <c r="AD206" i="3"/>
  <c r="AD187" i="3"/>
  <c r="AD179" i="3"/>
  <c r="AD67" i="3"/>
  <c r="U155" i="3"/>
  <c r="V155" i="3"/>
  <c r="V146" i="3"/>
  <c r="U146" i="3"/>
  <c r="U257" i="3"/>
  <c r="V257" i="3"/>
  <c r="V61" i="3"/>
  <c r="U61" i="3"/>
  <c r="V41" i="3"/>
  <c r="V59" i="3"/>
  <c r="U59" i="3"/>
  <c r="U40" i="3"/>
  <c r="V40" i="3"/>
  <c r="V161" i="3"/>
  <c r="U161" i="3"/>
  <c r="V158" i="3"/>
  <c r="V49" i="3"/>
  <c r="U159" i="3"/>
  <c r="V144" i="3"/>
  <c r="V56" i="3"/>
  <c r="U160" i="3"/>
  <c r="U151" i="3"/>
  <c r="AD162" i="3"/>
  <c r="U49" i="3"/>
  <c r="V42" i="3"/>
  <c r="AD254" i="3"/>
  <c r="V159" i="3"/>
  <c r="AD146" i="3"/>
  <c r="AD46" i="3"/>
  <c r="U45" i="3"/>
  <c r="U38" i="3"/>
  <c r="AD25" i="3"/>
  <c r="AD151" i="3"/>
  <c r="AD62" i="3"/>
  <c r="AD24" i="3"/>
  <c r="V20" i="3"/>
  <c r="U162" i="3"/>
  <c r="V62" i="3"/>
  <c r="AD282" i="3"/>
  <c r="U158" i="3"/>
  <c r="V145" i="3"/>
  <c r="U53" i="3"/>
  <c r="U258" i="3"/>
  <c r="AD159" i="3"/>
  <c r="U153" i="3"/>
  <c r="V142" i="3"/>
  <c r="AD60" i="3"/>
  <c r="U58" i="3"/>
  <c r="V54" i="3"/>
  <c r="U46" i="3"/>
  <c r="U232" i="3"/>
  <c r="V160" i="3"/>
  <c r="AD154" i="3"/>
  <c r="AD147" i="3"/>
  <c r="AD63" i="3"/>
  <c r="U57" i="3"/>
  <c r="U55" i="3"/>
  <c r="U262" i="3"/>
  <c r="V151" i="3"/>
  <c r="U50" i="3"/>
  <c r="V48" i="3"/>
  <c r="U39" i="3"/>
  <c r="V37" i="3"/>
  <c r="AD257" i="3"/>
  <c r="AD158" i="3"/>
  <c r="AD145" i="3"/>
  <c r="AD53" i="3"/>
  <c r="AD23" i="3"/>
  <c r="AD258" i="3"/>
  <c r="AD246" i="3"/>
  <c r="AS246" i="3" s="1"/>
  <c r="CG246" i="3" s="1"/>
  <c r="CH246" i="3" s="1"/>
  <c r="AD153" i="3"/>
  <c r="AD142" i="3"/>
  <c r="AD54" i="3"/>
  <c r="V253" i="3"/>
  <c r="AD232" i="3"/>
  <c r="AD141" i="3"/>
  <c r="AD55" i="3"/>
  <c r="U43" i="3"/>
  <c r="AD262" i="3"/>
  <c r="V250" i="3"/>
  <c r="AD150" i="3"/>
  <c r="AD50" i="3"/>
  <c r="AD44" i="3"/>
  <c r="V44" i="3"/>
  <c r="AD37" i="3"/>
  <c r="U261" i="3"/>
  <c r="V21" i="3"/>
  <c r="V150" i="3"/>
  <c r="AD261" i="3"/>
  <c r="AD61" i="3"/>
  <c r="AD47" i="3"/>
  <c r="AD40" i="3"/>
  <c r="V246" i="3"/>
  <c r="AD155" i="3"/>
  <c r="AD144" i="3"/>
  <c r="AD56" i="3"/>
  <c r="AD41" i="3"/>
  <c r="AD253" i="3"/>
  <c r="AD156" i="3"/>
  <c r="AD149" i="3"/>
  <c r="AD143" i="3"/>
  <c r="AD59" i="3"/>
  <c r="AD43" i="3"/>
  <c r="AD19" i="3"/>
  <c r="AS19" i="3" s="1"/>
  <c r="CG19" i="3" s="1"/>
  <c r="CH19" i="3" s="1"/>
  <c r="AD64" i="3"/>
  <c r="J14" i="9" l="1"/>
  <c r="BB14" i="3"/>
  <c r="BG14" i="3" s="1"/>
  <c r="AV197" i="3"/>
  <c r="AS203" i="3"/>
  <c r="CG203" i="3" s="1"/>
  <c r="CH203" i="3" s="1"/>
  <c r="AS281" i="3"/>
  <c r="CG281" i="3" s="1"/>
  <c r="CH281" i="3" s="1"/>
  <c r="AM281" i="3" s="1"/>
  <c r="AS87" i="3"/>
  <c r="CG87" i="3" s="1"/>
  <c r="CH87" i="3" s="1"/>
  <c r="AM87" i="3" s="1"/>
  <c r="AS163" i="3"/>
  <c r="CG163" i="3" s="1"/>
  <c r="CH163" i="3" s="1"/>
  <c r="AM163" i="3" s="1"/>
  <c r="AS104" i="3"/>
  <c r="CG104" i="3" s="1"/>
  <c r="CH104" i="3" s="1"/>
  <c r="AM104" i="3" s="1"/>
  <c r="AS269" i="3"/>
  <c r="CG269" i="3" s="1"/>
  <c r="CH269" i="3" s="1"/>
  <c r="AM269" i="3" s="1"/>
  <c r="AS96" i="3"/>
  <c r="CG96" i="3" s="1"/>
  <c r="CH96" i="3" s="1"/>
  <c r="AM96" i="3" s="1"/>
  <c r="AS259" i="3"/>
  <c r="CG259" i="3" s="1"/>
  <c r="CH259" i="3" s="1"/>
  <c r="AM259" i="3" s="1"/>
  <c r="AT259" i="3" s="1"/>
  <c r="AZ259" i="3" s="1"/>
  <c r="J259" i="9" s="1"/>
  <c r="AS277" i="3"/>
  <c r="CG277" i="3" s="1"/>
  <c r="CH277" i="3" s="1"/>
  <c r="AM277" i="3" s="1"/>
  <c r="AS244" i="3"/>
  <c r="CG244" i="3" s="1"/>
  <c r="CH244" i="3" s="1"/>
  <c r="AS77" i="3"/>
  <c r="CG77" i="3" s="1"/>
  <c r="CH77" i="3" s="1"/>
  <c r="AM77" i="3" s="1"/>
  <c r="AS92" i="3"/>
  <c r="CG92" i="3" s="1"/>
  <c r="CH92" i="3" s="1"/>
  <c r="AM92" i="3" s="1"/>
  <c r="AT92" i="3" s="1"/>
  <c r="AS215" i="3"/>
  <c r="CG215" i="3" s="1"/>
  <c r="CH215" i="3" s="1"/>
  <c r="AS90" i="3"/>
  <c r="CG90" i="3" s="1"/>
  <c r="CH90" i="3" s="1"/>
  <c r="AM90" i="3" s="1"/>
  <c r="AS124" i="3"/>
  <c r="CG124" i="3" s="1"/>
  <c r="CH124" i="3" s="1"/>
  <c r="AM124" i="3" s="1"/>
  <c r="AS236" i="3"/>
  <c r="CG236" i="3" s="1"/>
  <c r="CH236" i="3" s="1"/>
  <c r="AM236" i="3" s="1"/>
  <c r="AS62" i="3"/>
  <c r="CG62" i="3" s="1"/>
  <c r="CH62" i="3" s="1"/>
  <c r="AS200" i="3"/>
  <c r="CG200" i="3" s="1"/>
  <c r="CH200" i="3" s="1"/>
  <c r="AS207" i="3"/>
  <c r="CG207" i="3" s="1"/>
  <c r="CH207" i="3" s="1"/>
  <c r="AS289" i="3"/>
  <c r="CG289" i="3" s="1"/>
  <c r="CH289" i="3" s="1"/>
  <c r="AM289" i="3" s="1"/>
  <c r="AS24" i="3"/>
  <c r="CG24" i="3" s="1"/>
  <c r="CH24" i="3" s="1"/>
  <c r="AS183" i="3"/>
  <c r="CG183" i="3" s="1"/>
  <c r="CH183" i="3" s="1"/>
  <c r="AM183" i="3" s="1"/>
  <c r="AS157" i="3"/>
  <c r="CG157" i="3" s="1"/>
  <c r="CH157" i="3" s="1"/>
  <c r="AM157" i="3" s="1"/>
  <c r="AS21" i="3"/>
  <c r="CG21" i="3" s="1"/>
  <c r="CH21" i="3" s="1"/>
  <c r="AM21" i="3" s="1"/>
  <c r="AS110" i="3"/>
  <c r="CG110" i="3" s="1"/>
  <c r="CH110" i="3" s="1"/>
  <c r="AM110" i="3" s="1"/>
  <c r="AS255" i="3"/>
  <c r="CG255" i="3" s="1"/>
  <c r="CH255" i="3" s="1"/>
  <c r="AM255" i="3" s="1"/>
  <c r="AR255" i="3" s="1"/>
  <c r="BH255" i="3" s="1"/>
  <c r="AS248" i="3"/>
  <c r="CG248" i="3" s="1"/>
  <c r="CH248" i="3" s="1"/>
  <c r="AS114" i="3"/>
  <c r="CG114" i="3" s="1"/>
  <c r="CH114" i="3" s="1"/>
  <c r="AM114" i="3" s="1"/>
  <c r="AS131" i="3"/>
  <c r="CG131" i="3" s="1"/>
  <c r="CH131" i="3" s="1"/>
  <c r="AM131" i="3" s="1"/>
  <c r="U66" i="3"/>
  <c r="AS102" i="3"/>
  <c r="CG102" i="3" s="1"/>
  <c r="CH102" i="3" s="1"/>
  <c r="AM102" i="3" s="1"/>
  <c r="AR102" i="3" s="1"/>
  <c r="BH102" i="3" s="1"/>
  <c r="AS35" i="3"/>
  <c r="CG35" i="3" s="1"/>
  <c r="CH35" i="3" s="1"/>
  <c r="AM35" i="3" s="1"/>
  <c r="AS120" i="3"/>
  <c r="CG120" i="3" s="1"/>
  <c r="CH120" i="3" s="1"/>
  <c r="AM120" i="3" s="1"/>
  <c r="AS83" i="3"/>
  <c r="CG83" i="3" s="1"/>
  <c r="CH83" i="3" s="1"/>
  <c r="AM83" i="3" s="1"/>
  <c r="V78" i="3"/>
  <c r="AS288" i="3"/>
  <c r="CG288" i="3" s="1"/>
  <c r="CH288" i="3" s="1"/>
  <c r="AM288" i="3" s="1"/>
  <c r="AS205" i="3"/>
  <c r="CG205" i="3" s="1"/>
  <c r="CH205" i="3" s="1"/>
  <c r="AS279" i="3"/>
  <c r="CG279" i="3" s="1"/>
  <c r="CH279" i="3" s="1"/>
  <c r="AM279" i="3" s="1"/>
  <c r="AS254" i="3"/>
  <c r="CG254" i="3" s="1"/>
  <c r="CH254" i="3" s="1"/>
  <c r="AS65" i="3"/>
  <c r="CG65" i="3" s="1"/>
  <c r="CH65" i="3" s="1"/>
  <c r="AM65" i="3" s="1"/>
  <c r="AS94" i="3"/>
  <c r="CG94" i="3" s="1"/>
  <c r="CH94" i="3" s="1"/>
  <c r="AM94" i="3" s="1"/>
  <c r="AT94" i="3" s="1"/>
  <c r="AZ94" i="3" s="1"/>
  <c r="J94" i="9" s="1"/>
  <c r="AS263" i="3"/>
  <c r="CG263" i="3" s="1"/>
  <c r="CH263" i="3" s="1"/>
  <c r="AM263" i="3" s="1"/>
  <c r="AR263" i="3" s="1"/>
  <c r="BH263" i="3" s="1"/>
  <c r="AS129" i="3"/>
  <c r="CG129" i="3" s="1"/>
  <c r="CH129" i="3" s="1"/>
  <c r="AM129" i="3" s="1"/>
  <c r="AT129" i="3" s="1"/>
  <c r="AS112" i="3"/>
  <c r="CG112" i="3" s="1"/>
  <c r="CH112" i="3" s="1"/>
  <c r="AM112" i="3" s="1"/>
  <c r="U78" i="3"/>
  <c r="AS116" i="3"/>
  <c r="CG116" i="3" s="1"/>
  <c r="CH116" i="3" s="1"/>
  <c r="AM116" i="3" s="1"/>
  <c r="AR116" i="3" s="1"/>
  <c r="AS241" i="3"/>
  <c r="CG241" i="3" s="1"/>
  <c r="CH241" i="3" s="1"/>
  <c r="AM241" i="3" s="1"/>
  <c r="AS290" i="3"/>
  <c r="CG290" i="3" s="1"/>
  <c r="CH290" i="3" s="1"/>
  <c r="AM290" i="3" s="1"/>
  <c r="U76" i="3"/>
  <c r="AD68" i="3"/>
  <c r="U74" i="3"/>
  <c r="AS156" i="3"/>
  <c r="CG156" i="3" s="1"/>
  <c r="CH156" i="3" s="1"/>
  <c r="AS20" i="3"/>
  <c r="CG20" i="3" s="1"/>
  <c r="CH20" i="3" s="1"/>
  <c r="AM20" i="3" s="1"/>
  <c r="AS188" i="3"/>
  <c r="CG188" i="3" s="1"/>
  <c r="CH188" i="3" s="1"/>
  <c r="AM188" i="3" s="1"/>
  <c r="AS100" i="3"/>
  <c r="CG100" i="3" s="1"/>
  <c r="CH100" i="3" s="1"/>
  <c r="AM100" i="3" s="1"/>
  <c r="AS286" i="3"/>
  <c r="CG286" i="3" s="1"/>
  <c r="CH286" i="3" s="1"/>
  <c r="AS274" i="3"/>
  <c r="CG274" i="3" s="1"/>
  <c r="CH274" i="3" s="1"/>
  <c r="AM274" i="3" s="1"/>
  <c r="AT274" i="3" s="1"/>
  <c r="AZ274" i="3" s="1"/>
  <c r="J274" i="9" s="1"/>
  <c r="AS287" i="3"/>
  <c r="CG287" i="3" s="1"/>
  <c r="CH287" i="3" s="1"/>
  <c r="AM287" i="3" s="1"/>
  <c r="U72" i="3"/>
  <c r="V82" i="3"/>
  <c r="U68" i="3"/>
  <c r="AS133" i="3"/>
  <c r="CG133" i="3" s="1"/>
  <c r="CH133" i="3" s="1"/>
  <c r="AS80" i="3"/>
  <c r="CG80" i="3" s="1"/>
  <c r="CH80" i="3" s="1"/>
  <c r="AM80" i="3" s="1"/>
  <c r="AT80" i="3" s="1"/>
  <c r="AD66" i="3"/>
  <c r="AS88" i="3"/>
  <c r="CG88" i="3" s="1"/>
  <c r="CH88" i="3" s="1"/>
  <c r="AM88" i="3" s="1"/>
  <c r="AS123" i="3"/>
  <c r="CG123" i="3" s="1"/>
  <c r="CH123" i="3" s="1"/>
  <c r="AM123" i="3" s="1"/>
  <c r="U11" i="3"/>
  <c r="AS28" i="3"/>
  <c r="CG28" i="3" s="1"/>
  <c r="CH28" i="3" s="1"/>
  <c r="AM28" i="3" s="1"/>
  <c r="AS284" i="3"/>
  <c r="CG284" i="3" s="1"/>
  <c r="CH284" i="3" s="1"/>
  <c r="AM284" i="3" s="1"/>
  <c r="V70" i="3"/>
  <c r="AS276" i="3"/>
  <c r="CG276" i="3" s="1"/>
  <c r="CH276" i="3" s="1"/>
  <c r="AS139" i="3"/>
  <c r="CG139" i="3" s="1"/>
  <c r="CH139" i="3" s="1"/>
  <c r="AM139" i="3" s="1"/>
  <c r="AD72" i="3"/>
  <c r="V72" i="3"/>
  <c r="AS168" i="3"/>
  <c r="CG168" i="3" s="1"/>
  <c r="CH168" i="3" s="1"/>
  <c r="AM168" i="3" s="1"/>
  <c r="AS135" i="3"/>
  <c r="CG135" i="3" s="1"/>
  <c r="CH135" i="3" s="1"/>
  <c r="AM135" i="3" s="1"/>
  <c r="AS265" i="3"/>
  <c r="CG265" i="3" s="1"/>
  <c r="CH265" i="3" s="1"/>
  <c r="AD76" i="3"/>
  <c r="AD74" i="3"/>
  <c r="AD98" i="3"/>
  <c r="AD78" i="3"/>
  <c r="V74" i="3"/>
  <c r="AD70" i="3"/>
  <c r="AS70" i="3" s="1"/>
  <c r="AS79" i="3"/>
  <c r="CG79" i="3" s="1"/>
  <c r="CH79" i="3" s="1"/>
  <c r="AM79" i="3" s="1"/>
  <c r="AS280" i="3"/>
  <c r="CG280" i="3" s="1"/>
  <c r="CH280" i="3" s="1"/>
  <c r="AM280" i="3" s="1"/>
  <c r="AS141" i="3"/>
  <c r="CG141" i="3" s="1"/>
  <c r="CH141" i="3" s="1"/>
  <c r="AS260" i="3"/>
  <c r="CG260" i="3" s="1"/>
  <c r="CH260" i="3" s="1"/>
  <c r="AM260" i="3" s="1"/>
  <c r="AS192" i="3"/>
  <c r="CG192" i="3" s="1"/>
  <c r="CH192" i="3" s="1"/>
  <c r="AS228" i="3"/>
  <c r="CG228" i="3" s="1"/>
  <c r="CH228" i="3" s="1"/>
  <c r="AM228" i="3" s="1"/>
  <c r="V271" i="3"/>
  <c r="AS51" i="3"/>
  <c r="CG51" i="3" s="1"/>
  <c r="CH51" i="3" s="1"/>
  <c r="AM51" i="3" s="1"/>
  <c r="AT51" i="3" s="1"/>
  <c r="AZ51" i="3" s="1"/>
  <c r="J51" i="9" s="1"/>
  <c r="V33" i="3"/>
  <c r="AS285" i="3"/>
  <c r="CG285" i="3" s="1"/>
  <c r="CH285" i="3" s="1"/>
  <c r="AM285" i="3" s="1"/>
  <c r="AD33" i="3"/>
  <c r="AS33" i="3" s="1"/>
  <c r="AD82" i="3"/>
  <c r="AS82" i="3" s="1"/>
  <c r="CG82" i="3" s="1"/>
  <c r="CH82" i="3" s="1"/>
  <c r="AM82" i="3" s="1"/>
  <c r="AS108" i="3"/>
  <c r="CG108" i="3" s="1"/>
  <c r="CH108" i="3" s="1"/>
  <c r="AM108" i="3" s="1"/>
  <c r="U13" i="3"/>
  <c r="AR32" i="3"/>
  <c r="BH32" i="3" s="1"/>
  <c r="AT32" i="3"/>
  <c r="AZ32" i="3" s="1"/>
  <c r="J32" i="9" s="1"/>
  <c r="CG34" i="3"/>
  <c r="CH34" i="3" s="1"/>
  <c r="AM34" i="3" s="1"/>
  <c r="CG31" i="3"/>
  <c r="CH31" i="3" s="1"/>
  <c r="AM31" i="3" s="1"/>
  <c r="CG36" i="3"/>
  <c r="CH36" i="3" s="1"/>
  <c r="AM36" i="3" s="1"/>
  <c r="CG245" i="3"/>
  <c r="CH245" i="3" s="1"/>
  <c r="AM245" i="3" s="1"/>
  <c r="CG237" i="3"/>
  <c r="CH237" i="3" s="1"/>
  <c r="AM237" i="3" s="1"/>
  <c r="CG29" i="3"/>
  <c r="CH29" i="3" s="1"/>
  <c r="AM29" i="3" s="1"/>
  <c r="CG283" i="3"/>
  <c r="CH283" i="3" s="1"/>
  <c r="AM283" i="3" s="1"/>
  <c r="CG27" i="3"/>
  <c r="CH27" i="3" s="1"/>
  <c r="AM27" i="3" s="1"/>
  <c r="AS128" i="3"/>
  <c r="CG128" i="3" s="1"/>
  <c r="CH128" i="3" s="1"/>
  <c r="AS58" i="3"/>
  <c r="CG58" i="3" s="1"/>
  <c r="CH58" i="3" s="1"/>
  <c r="AS179" i="3"/>
  <c r="CG179" i="3" s="1"/>
  <c r="CH179" i="3" s="1"/>
  <c r="AS170" i="3"/>
  <c r="CG170" i="3" s="1"/>
  <c r="CH170" i="3" s="1"/>
  <c r="AS196" i="3"/>
  <c r="CG196" i="3" s="1"/>
  <c r="CH196" i="3" s="1"/>
  <c r="AS39" i="3"/>
  <c r="CG39" i="3" s="1"/>
  <c r="CH39" i="3" s="1"/>
  <c r="AS185" i="3"/>
  <c r="CG185" i="3" s="1"/>
  <c r="CH185" i="3" s="1"/>
  <c r="AS217" i="3"/>
  <c r="CG217" i="3" s="1"/>
  <c r="CH217" i="3" s="1"/>
  <c r="AS222" i="3"/>
  <c r="CG222" i="3" s="1"/>
  <c r="CH222" i="3" s="1"/>
  <c r="AM222" i="3" s="1"/>
  <c r="AS132" i="3"/>
  <c r="CG132" i="3" s="1"/>
  <c r="CH132" i="3" s="1"/>
  <c r="AM264" i="3"/>
  <c r="AS282" i="3"/>
  <c r="CG282" i="3" s="1"/>
  <c r="CH282" i="3" s="1"/>
  <c r="AS161" i="3"/>
  <c r="CG161" i="3" s="1"/>
  <c r="CH161" i="3" s="1"/>
  <c r="AS149" i="3"/>
  <c r="CG149" i="3" s="1"/>
  <c r="CH149" i="3" s="1"/>
  <c r="AS208" i="3"/>
  <c r="CG208" i="3" s="1"/>
  <c r="CH208" i="3" s="1"/>
  <c r="AM208" i="3" s="1"/>
  <c r="AS119" i="3"/>
  <c r="V98" i="3"/>
  <c r="U98" i="3"/>
  <c r="AS147" i="3"/>
  <c r="AS178" i="3"/>
  <c r="CG178" i="3" s="1"/>
  <c r="CH178" i="3" s="1"/>
  <c r="AS38" i="3"/>
  <c r="CG38" i="3" s="1"/>
  <c r="CH38" i="3" s="1"/>
  <c r="AS160" i="3"/>
  <c r="CG160" i="3" s="1"/>
  <c r="CH160" i="3" s="1"/>
  <c r="AD30" i="3"/>
  <c r="V30" i="3"/>
  <c r="U30" i="3"/>
  <c r="AS57" i="3"/>
  <c r="CG57" i="3" s="1"/>
  <c r="CH57" i="3" s="1"/>
  <c r="AS45" i="3"/>
  <c r="CG45" i="3" s="1"/>
  <c r="CH45" i="3" s="1"/>
  <c r="AS49" i="3"/>
  <c r="CG49" i="3" s="1"/>
  <c r="CH49" i="3" s="1"/>
  <c r="AS138" i="3"/>
  <c r="CG138" i="3" s="1"/>
  <c r="CH138" i="3" s="1"/>
  <c r="AS117" i="3"/>
  <c r="CG117" i="3" s="1"/>
  <c r="CH117" i="3" s="1"/>
  <c r="AD268" i="3"/>
  <c r="U268" i="3"/>
  <c r="V268" i="3"/>
  <c r="AD9" i="3"/>
  <c r="AD52" i="3"/>
  <c r="V13" i="3"/>
  <c r="AD271" i="3"/>
  <c r="AS271" i="3" s="1"/>
  <c r="CG271" i="3" s="1"/>
  <c r="CH271" i="3" s="1"/>
  <c r="U275" i="3"/>
  <c r="V275" i="3"/>
  <c r="V52" i="3"/>
  <c r="U52" i="3"/>
  <c r="AD11" i="3"/>
  <c r="AD13" i="3"/>
  <c r="AD275" i="3"/>
  <c r="AS210" i="3"/>
  <c r="CG210" i="3" s="1"/>
  <c r="CH210" i="3" s="1"/>
  <c r="AS256" i="3"/>
  <c r="CG256" i="3" s="1"/>
  <c r="CH256" i="3" s="1"/>
  <c r="AS43" i="3"/>
  <c r="CG43" i="3" s="1"/>
  <c r="CH43" i="3" s="1"/>
  <c r="AS89" i="3"/>
  <c r="AS231" i="3"/>
  <c r="AS42" i="3"/>
  <c r="AR81" i="3"/>
  <c r="AT81" i="3"/>
  <c r="AR267" i="3"/>
  <c r="BH267" i="3" s="1"/>
  <c r="AT267" i="3"/>
  <c r="AZ267" i="3" s="1"/>
  <c r="J267" i="9" s="1"/>
  <c r="AR243" i="3"/>
  <c r="BH243" i="3" s="1"/>
  <c r="AT243" i="3"/>
  <c r="AZ243" i="3" s="1"/>
  <c r="J243" i="9" s="1"/>
  <c r="AR122" i="3"/>
  <c r="BH122" i="3" s="1"/>
  <c r="AT122" i="3"/>
  <c r="AS226" i="3"/>
  <c r="CG226" i="3" s="1"/>
  <c r="CH226" i="3" s="1"/>
  <c r="AS71" i="3"/>
  <c r="CG71" i="3" s="1"/>
  <c r="CH71" i="3" s="1"/>
  <c r="AS50" i="3"/>
  <c r="CG50" i="3" s="1"/>
  <c r="CH50" i="3" s="1"/>
  <c r="AS191" i="3"/>
  <c r="CG191" i="3" s="1"/>
  <c r="CH191" i="3" s="1"/>
  <c r="AS195" i="3"/>
  <c r="CG195" i="3" s="1"/>
  <c r="CH195" i="3" s="1"/>
  <c r="AS202" i="3"/>
  <c r="CG202" i="3" s="1"/>
  <c r="CH202" i="3" s="1"/>
  <c r="AS225" i="3"/>
  <c r="CG225" i="3" s="1"/>
  <c r="CH225" i="3" s="1"/>
  <c r="AS148" i="3"/>
  <c r="AS261" i="3"/>
  <c r="CG261" i="3" s="1"/>
  <c r="CH261" i="3" s="1"/>
  <c r="AS46" i="3"/>
  <c r="CG46" i="3" s="1"/>
  <c r="CH46" i="3" s="1"/>
  <c r="AS151" i="3"/>
  <c r="CG151" i="3" s="1"/>
  <c r="CH151" i="3" s="1"/>
  <c r="AS159" i="3"/>
  <c r="CG159" i="3" s="1"/>
  <c r="CH159" i="3" s="1"/>
  <c r="AS136" i="3"/>
  <c r="CG136" i="3" s="1"/>
  <c r="CH136" i="3" s="1"/>
  <c r="AS230" i="3"/>
  <c r="AS121" i="3"/>
  <c r="CG121" i="3" s="1"/>
  <c r="CH121" i="3" s="1"/>
  <c r="AS95" i="3"/>
  <c r="CG95" i="3" s="1"/>
  <c r="CH95" i="3" s="1"/>
  <c r="AS113" i="3"/>
  <c r="AS262" i="3"/>
  <c r="CG262" i="3" s="1"/>
  <c r="CH262" i="3" s="1"/>
  <c r="AS258" i="3"/>
  <c r="CG258" i="3" s="1"/>
  <c r="CH258" i="3" s="1"/>
  <c r="AS187" i="3"/>
  <c r="CG187" i="3" s="1"/>
  <c r="CH187" i="3" s="1"/>
  <c r="AS197" i="3"/>
  <c r="CG197" i="3" s="1"/>
  <c r="CH197" i="3" s="1"/>
  <c r="AS220" i="3"/>
  <c r="CG220" i="3" s="1"/>
  <c r="CH220" i="3" s="1"/>
  <c r="AS184" i="3"/>
  <c r="CG184" i="3" s="1"/>
  <c r="CH184" i="3" s="1"/>
  <c r="AS224" i="3"/>
  <c r="AS234" i="3"/>
  <c r="CG234" i="3" s="1"/>
  <c r="CH234" i="3" s="1"/>
  <c r="AS249" i="3"/>
  <c r="CG249" i="3" s="1"/>
  <c r="CH249" i="3" s="1"/>
  <c r="AS227" i="3"/>
  <c r="CG227" i="3" s="1"/>
  <c r="CH227" i="3" s="1"/>
  <c r="AS219" i="3"/>
  <c r="AS233" i="3"/>
  <c r="CG233" i="3" s="1"/>
  <c r="CH233" i="3" s="1"/>
  <c r="AS229" i="3"/>
  <c r="CG229" i="3" s="1"/>
  <c r="CH229" i="3" s="1"/>
  <c r="AS223" i="3"/>
  <c r="AS216" i="3"/>
  <c r="AM246" i="3"/>
  <c r="AS232" i="3"/>
  <c r="CG232" i="3" s="1"/>
  <c r="CH232" i="3" s="1"/>
  <c r="AS257" i="3"/>
  <c r="CG257" i="3" s="1"/>
  <c r="CH257" i="3" s="1"/>
  <c r="AS253" i="3"/>
  <c r="AS218" i="3"/>
  <c r="CG218" i="3" s="1"/>
  <c r="CH218" i="3" s="1"/>
  <c r="AS235" i="3"/>
  <c r="AS242" i="3"/>
  <c r="AS250" i="3"/>
  <c r="AS238" i="3"/>
  <c r="CG238" i="3" s="1"/>
  <c r="CH238" i="3" s="1"/>
  <c r="AS252" i="3"/>
  <c r="CG252" i="3" s="1"/>
  <c r="CH252" i="3" s="1"/>
  <c r="AS221" i="3"/>
  <c r="AS240" i="3"/>
  <c r="AS115" i="3"/>
  <c r="AS109" i="3"/>
  <c r="AS118" i="3"/>
  <c r="AS153" i="3"/>
  <c r="CG153" i="3" s="1"/>
  <c r="CH153" i="3" s="1"/>
  <c r="AS40" i="3"/>
  <c r="CG40" i="3" s="1"/>
  <c r="CH40" i="3" s="1"/>
  <c r="AS155" i="3"/>
  <c r="CG155" i="3" s="1"/>
  <c r="CH155" i="3" s="1"/>
  <c r="AS212" i="3"/>
  <c r="CG212" i="3" s="1"/>
  <c r="CH212" i="3" s="1"/>
  <c r="AS143" i="3"/>
  <c r="CG143" i="3" s="1"/>
  <c r="CH143" i="3" s="1"/>
  <c r="AS67" i="3"/>
  <c r="CG67" i="3" s="1"/>
  <c r="CH67" i="3" s="1"/>
  <c r="AS214" i="3"/>
  <c r="CG214" i="3" s="1"/>
  <c r="CH214" i="3" s="1"/>
  <c r="AS154" i="3"/>
  <c r="AS150" i="3"/>
  <c r="CG150" i="3" s="1"/>
  <c r="CH150" i="3" s="1"/>
  <c r="AS211" i="3"/>
  <c r="CG211" i="3" s="1"/>
  <c r="CH211" i="3" s="1"/>
  <c r="AS173" i="3"/>
  <c r="AS166" i="3"/>
  <c r="CG166" i="3" s="1"/>
  <c r="CH166" i="3" s="1"/>
  <c r="AS194" i="3"/>
  <c r="AS201" i="3"/>
  <c r="CG201" i="3" s="1"/>
  <c r="CH201" i="3" s="1"/>
  <c r="AS186" i="3"/>
  <c r="AS60" i="3"/>
  <c r="AS189" i="3"/>
  <c r="AS47" i="3"/>
  <c r="AS174" i="3"/>
  <c r="CG174" i="3" s="1"/>
  <c r="CH174" i="3" s="1"/>
  <c r="AS180" i="3"/>
  <c r="AS99" i="3"/>
  <c r="CG99" i="3" s="1"/>
  <c r="CH99" i="3" s="1"/>
  <c r="AS103" i="3"/>
  <c r="CG103" i="3" s="1"/>
  <c r="CH103" i="3" s="1"/>
  <c r="AS190" i="3"/>
  <c r="AS175" i="3"/>
  <c r="AS26" i="3"/>
  <c r="AS206" i="3"/>
  <c r="AS22" i="3"/>
  <c r="CG22" i="3" s="1"/>
  <c r="CH22" i="3" s="1"/>
  <c r="AS97" i="3"/>
  <c r="AS101" i="3"/>
  <c r="AS55" i="3"/>
  <c r="CG55" i="3" s="1"/>
  <c r="CH55" i="3" s="1"/>
  <c r="AS53" i="3"/>
  <c r="AS158" i="3"/>
  <c r="CG158" i="3" s="1"/>
  <c r="CH158" i="3" s="1"/>
  <c r="AS162" i="3"/>
  <c r="CG162" i="3" s="1"/>
  <c r="CH162" i="3" s="1"/>
  <c r="AS59" i="3"/>
  <c r="CG59" i="3" s="1"/>
  <c r="CH59" i="3" s="1"/>
  <c r="AS61" i="3"/>
  <c r="CG61" i="3" s="1"/>
  <c r="CH61" i="3" s="1"/>
  <c r="AS146" i="3"/>
  <c r="CG146" i="3" s="1"/>
  <c r="CH146" i="3" s="1"/>
  <c r="AS48" i="3"/>
  <c r="CG48" i="3" s="1"/>
  <c r="CH48" i="3" s="1"/>
  <c r="AS145" i="3"/>
  <c r="CG145" i="3" s="1"/>
  <c r="CH145" i="3" s="1"/>
  <c r="AS193" i="3"/>
  <c r="CG193" i="3" s="1"/>
  <c r="CH193" i="3" s="1"/>
  <c r="AS204" i="3"/>
  <c r="CG204" i="3" s="1"/>
  <c r="CH204" i="3" s="1"/>
  <c r="AS75" i="3"/>
  <c r="AS63" i="3"/>
  <c r="AS142" i="3"/>
  <c r="AS169" i="3"/>
  <c r="CG169" i="3" s="1"/>
  <c r="CH169" i="3" s="1"/>
  <c r="AS152" i="3"/>
  <c r="AS37" i="3"/>
  <c r="CG37" i="3" s="1"/>
  <c r="CH37" i="3" s="1"/>
  <c r="AS44" i="3"/>
  <c r="CG44" i="3" s="1"/>
  <c r="CH44" i="3" s="1"/>
  <c r="AS164" i="3"/>
  <c r="CG164" i="3" s="1"/>
  <c r="CH164" i="3" s="1"/>
  <c r="AS165" i="3"/>
  <c r="AS56" i="3"/>
  <c r="CG56" i="3" s="1"/>
  <c r="CH56" i="3" s="1"/>
  <c r="AS144" i="3"/>
  <c r="CG144" i="3" s="1"/>
  <c r="CH144" i="3" s="1"/>
  <c r="AS73" i="3"/>
  <c r="AS23" i="3"/>
  <c r="AS25" i="3"/>
  <c r="AS54" i="3"/>
  <c r="CG54" i="3" s="1"/>
  <c r="CH54" i="3" s="1"/>
  <c r="AM93" i="3"/>
  <c r="AS105" i="3"/>
  <c r="CG105" i="3" s="1"/>
  <c r="CH105" i="3" s="1"/>
  <c r="AS107" i="3"/>
  <c r="AS213" i="3"/>
  <c r="CG213" i="3" s="1"/>
  <c r="CH213" i="3" s="1"/>
  <c r="AS134" i="3"/>
  <c r="CG134" i="3" s="1"/>
  <c r="CH134" i="3" s="1"/>
  <c r="AS198" i="3"/>
  <c r="AM84" i="3"/>
  <c r="AS91" i="3"/>
  <c r="AS182" i="3"/>
  <c r="AS167" i="3"/>
  <c r="AS176" i="3"/>
  <c r="AS199" i="3"/>
  <c r="AS64" i="3"/>
  <c r="AS6" i="3"/>
  <c r="AS8" i="3"/>
  <c r="CG8" i="3" s="1"/>
  <c r="CH8" i="3" s="1"/>
  <c r="AS7" i="3"/>
  <c r="AM251" i="3"/>
  <c r="AM111" i="3"/>
  <c r="AM247" i="3"/>
  <c r="U41" i="3"/>
  <c r="AS41" i="3" s="1"/>
  <c r="CG41" i="3" s="1"/>
  <c r="CH41" i="3" s="1"/>
  <c r="AM270" i="3"/>
  <c r="AM278" i="3"/>
  <c r="AM127" i="3"/>
  <c r="AM177" i="3"/>
  <c r="AM140" i="3"/>
  <c r="AM130" i="3"/>
  <c r="AM126" i="3"/>
  <c r="AM10" i="3"/>
  <c r="AM273" i="3"/>
  <c r="AM272" i="3"/>
  <c r="AM12" i="3"/>
  <c r="AM137" i="3"/>
  <c r="AM239" i="3"/>
  <c r="AM85" i="3"/>
  <c r="AM266" i="3"/>
  <c r="AM69" i="3"/>
  <c r="V9" i="3"/>
  <c r="U9" i="3"/>
  <c r="AV198" i="3" l="1"/>
  <c r="BB267" i="3"/>
  <c r="BG267" i="3" s="1"/>
  <c r="BB243" i="3"/>
  <c r="BG243" i="3" s="1"/>
  <c r="BB32" i="3"/>
  <c r="BG32" i="3" s="1"/>
  <c r="BB51" i="3"/>
  <c r="BG51" i="3" s="1"/>
  <c r="BB274" i="3"/>
  <c r="BG274" i="3" s="1"/>
  <c r="BB94" i="3"/>
  <c r="BG94" i="3" s="1"/>
  <c r="BB259" i="3"/>
  <c r="BG259" i="3" s="1"/>
  <c r="BH116" i="3"/>
  <c r="BJ116" i="3" s="1"/>
  <c r="BL116" i="3" s="1"/>
  <c r="BM116" i="3" s="1"/>
  <c r="CX116" i="3"/>
  <c r="CY116" i="3" s="1"/>
  <c r="AU116" i="3" s="1"/>
  <c r="AY116" i="3" s="1"/>
  <c r="BH81" i="3"/>
  <c r="BJ81" i="3" s="1"/>
  <c r="BL81" i="3" s="1"/>
  <c r="BM81" i="3" s="1"/>
  <c r="CX81" i="3"/>
  <c r="CY81" i="3" s="1"/>
  <c r="AU81" i="3" s="1"/>
  <c r="AZ81" i="3" s="1"/>
  <c r="J81" i="9" s="1"/>
  <c r="CY122" i="3"/>
  <c r="AU122" i="3" s="1"/>
  <c r="AY122" i="3" s="1"/>
  <c r="BJ122" i="3"/>
  <c r="BL122" i="3" s="1"/>
  <c r="BM122" i="3" s="1"/>
  <c r="CY255" i="3"/>
  <c r="AU255" i="3" s="1"/>
  <c r="AY255" i="3" s="1"/>
  <c r="BJ255" i="3"/>
  <c r="BL255" i="3" s="1"/>
  <c r="BM255" i="3" s="1"/>
  <c r="AS78" i="3"/>
  <c r="CG78" i="3" s="1"/>
  <c r="CH78" i="3" s="1"/>
  <c r="AM78" i="3" s="1"/>
  <c r="AS66" i="3"/>
  <c r="CG66" i="3" s="1"/>
  <c r="CH66" i="3" s="1"/>
  <c r="AM66" i="3" s="1"/>
  <c r="AR259" i="3"/>
  <c r="BH259" i="3" s="1"/>
  <c r="AS52" i="3"/>
  <c r="CG52" i="3" s="1"/>
  <c r="CH52" i="3" s="1"/>
  <c r="AM52" i="3" s="1"/>
  <c r="AS30" i="3"/>
  <c r="CG30" i="3" s="1"/>
  <c r="CH30" i="3" s="1"/>
  <c r="AM30" i="3" s="1"/>
  <c r="AT102" i="3"/>
  <c r="AZ102" i="3" s="1"/>
  <c r="J102" i="9" s="1"/>
  <c r="AT255" i="3"/>
  <c r="AR94" i="3"/>
  <c r="BH94" i="3" s="1"/>
  <c r="AT263" i="3"/>
  <c r="AZ263" i="3" s="1"/>
  <c r="J263" i="9" s="1"/>
  <c r="AS72" i="3"/>
  <c r="CG72" i="3" s="1"/>
  <c r="CH72" i="3" s="1"/>
  <c r="AM72" i="3" s="1"/>
  <c r="AR274" i="3"/>
  <c r="BH274" i="3" s="1"/>
  <c r="AS74" i="3"/>
  <c r="CG74" i="3" s="1"/>
  <c r="CH74" i="3" s="1"/>
  <c r="AM74" i="3" s="1"/>
  <c r="AS11" i="3"/>
  <c r="CG11" i="3" s="1"/>
  <c r="CH11" i="3" s="1"/>
  <c r="AM11" i="3" s="1"/>
  <c r="AS76" i="3"/>
  <c r="CG76" i="3" s="1"/>
  <c r="CH76" i="3" s="1"/>
  <c r="AM76" i="3" s="1"/>
  <c r="AT116" i="3"/>
  <c r="AS98" i="3"/>
  <c r="CG98" i="3" s="1"/>
  <c r="CH98" i="3" s="1"/>
  <c r="AM98" i="3" s="1"/>
  <c r="AS68" i="3"/>
  <c r="CG68" i="3" s="1"/>
  <c r="CH68" i="3" s="1"/>
  <c r="AM68" i="3" s="1"/>
  <c r="AT82" i="3"/>
  <c r="AZ82" i="3" s="1"/>
  <c r="J82" i="9" s="1"/>
  <c r="AR82" i="3"/>
  <c r="BH82" i="3" s="1"/>
  <c r="AT283" i="3"/>
  <c r="AZ283" i="3" s="1"/>
  <c r="J283" i="9" s="1"/>
  <c r="AR283" i="3"/>
  <c r="BH283" i="3" s="1"/>
  <c r="AT28" i="3"/>
  <c r="AZ28" i="3" s="1"/>
  <c r="J28" i="9" s="1"/>
  <c r="AR28" i="3"/>
  <c r="BH28" i="3" s="1"/>
  <c r="AR110" i="3"/>
  <c r="AT110" i="3"/>
  <c r="AR245" i="3"/>
  <c r="BH245" i="3" s="1"/>
  <c r="AT245" i="3"/>
  <c r="AZ245" i="3" s="1"/>
  <c r="J245" i="9" s="1"/>
  <c r="AR100" i="3"/>
  <c r="BH100" i="3" s="1"/>
  <c r="AT100" i="3"/>
  <c r="AZ100" i="3" s="1"/>
  <c r="J100" i="9" s="1"/>
  <c r="AT112" i="3"/>
  <c r="AZ112" i="3" s="1"/>
  <c r="J112" i="9" s="1"/>
  <c r="AR112" i="3"/>
  <c r="BH112" i="3" s="1"/>
  <c r="AT120" i="3"/>
  <c r="AZ120" i="3" s="1"/>
  <c r="J120" i="9" s="1"/>
  <c r="AR120" i="3"/>
  <c r="BH120" i="3" s="1"/>
  <c r="AT34" i="3"/>
  <c r="AZ34" i="3" s="1"/>
  <c r="J34" i="9" s="1"/>
  <c r="AR34" i="3"/>
  <c r="BH34" i="3" s="1"/>
  <c r="AT90" i="3"/>
  <c r="AZ90" i="3" s="1"/>
  <c r="J90" i="9" s="1"/>
  <c r="AR90" i="3"/>
  <c r="BH90" i="3" s="1"/>
  <c r="AR88" i="3"/>
  <c r="BH88" i="3" s="1"/>
  <c r="AT88" i="3"/>
  <c r="AZ88" i="3" s="1"/>
  <c r="J88" i="9" s="1"/>
  <c r="AR27" i="3"/>
  <c r="BH27" i="3" s="1"/>
  <c r="AT27" i="3"/>
  <c r="AZ27" i="3" s="1"/>
  <c r="J27" i="9" s="1"/>
  <c r="AR108" i="3"/>
  <c r="BH108" i="3" s="1"/>
  <c r="AT108" i="3"/>
  <c r="AT29" i="3"/>
  <c r="AR29" i="3"/>
  <c r="CX29" i="3" s="1"/>
  <c r="CY29" i="3" s="1"/>
  <c r="AU29" i="3" s="1"/>
  <c r="AR237" i="3"/>
  <c r="BH237" i="3" s="1"/>
  <c r="AT237" i="3"/>
  <c r="AZ237" i="3" s="1"/>
  <c r="J237" i="9" s="1"/>
  <c r="AT65" i="3"/>
  <c r="AR65" i="3"/>
  <c r="AR36" i="3"/>
  <c r="BH36" i="3" s="1"/>
  <c r="AT36" i="3"/>
  <c r="AZ36" i="3" s="1"/>
  <c r="J36" i="9" s="1"/>
  <c r="AT31" i="3"/>
  <c r="AZ31" i="3" s="1"/>
  <c r="J31" i="9" s="1"/>
  <c r="AR31" i="3"/>
  <c r="BH31" i="3" s="1"/>
  <c r="AT35" i="3"/>
  <c r="AZ35" i="3" s="1"/>
  <c r="J35" i="9" s="1"/>
  <c r="AR35" i="3"/>
  <c r="BH35" i="3" s="1"/>
  <c r="AT96" i="3"/>
  <c r="AZ96" i="3" s="1"/>
  <c r="J96" i="9" s="1"/>
  <c r="AR96" i="3"/>
  <c r="BH96" i="3" s="1"/>
  <c r="AR114" i="3"/>
  <c r="AT114" i="3"/>
  <c r="AT124" i="3"/>
  <c r="AZ124" i="3" s="1"/>
  <c r="J124" i="9" s="1"/>
  <c r="AR124" i="3"/>
  <c r="BH124" i="3" s="1"/>
  <c r="CG7" i="3"/>
  <c r="CH7" i="3" s="1"/>
  <c r="AM7" i="3" s="1"/>
  <c r="CG199" i="3"/>
  <c r="CH199" i="3" s="1"/>
  <c r="AM199" i="3" s="1"/>
  <c r="CG182" i="3"/>
  <c r="CH182" i="3" s="1"/>
  <c r="AM182" i="3" s="1"/>
  <c r="CG198" i="3"/>
  <c r="CH198" i="3" s="1"/>
  <c r="AM198" i="3" s="1"/>
  <c r="CG23" i="3"/>
  <c r="CH23" i="3" s="1"/>
  <c r="AM23" i="3" s="1"/>
  <c r="CG165" i="3"/>
  <c r="CH165" i="3" s="1"/>
  <c r="AM165" i="3" s="1"/>
  <c r="CG152" i="3"/>
  <c r="CH152" i="3" s="1"/>
  <c r="AM152" i="3" s="1"/>
  <c r="CG142" i="3"/>
  <c r="CH142" i="3" s="1"/>
  <c r="AM142" i="3" s="1"/>
  <c r="CG75" i="3"/>
  <c r="CH75" i="3" s="1"/>
  <c r="AM75" i="3" s="1"/>
  <c r="CG97" i="3"/>
  <c r="CH97" i="3" s="1"/>
  <c r="AM97" i="3" s="1"/>
  <c r="CG206" i="3"/>
  <c r="CH206" i="3" s="1"/>
  <c r="AM206" i="3" s="1"/>
  <c r="CG175" i="3"/>
  <c r="CH175" i="3" s="1"/>
  <c r="AM175" i="3" s="1"/>
  <c r="CG190" i="3"/>
  <c r="CH190" i="3" s="1"/>
  <c r="AM190" i="3" s="1"/>
  <c r="CG189" i="3"/>
  <c r="CH189" i="3" s="1"/>
  <c r="AM189" i="3" s="1"/>
  <c r="CG186" i="3"/>
  <c r="CH186" i="3" s="1"/>
  <c r="AM186" i="3" s="1"/>
  <c r="CG194" i="3"/>
  <c r="CH194" i="3" s="1"/>
  <c r="AM194" i="3" s="1"/>
  <c r="CG173" i="3"/>
  <c r="CH173" i="3" s="1"/>
  <c r="AM173" i="3" s="1"/>
  <c r="CG118" i="3"/>
  <c r="CH118" i="3" s="1"/>
  <c r="AM118" i="3" s="1"/>
  <c r="CG115" i="3"/>
  <c r="CH115" i="3" s="1"/>
  <c r="AM115" i="3" s="1"/>
  <c r="CG221" i="3"/>
  <c r="CH221" i="3" s="1"/>
  <c r="AM221" i="3" s="1"/>
  <c r="CG242" i="3"/>
  <c r="CH242" i="3" s="1"/>
  <c r="AM242" i="3" s="1"/>
  <c r="CG216" i="3"/>
  <c r="CH216" i="3" s="1"/>
  <c r="AM216" i="3" s="1"/>
  <c r="CG219" i="3"/>
  <c r="CH219" i="3" s="1"/>
  <c r="AM219" i="3" s="1"/>
  <c r="CG224" i="3"/>
  <c r="CH224" i="3" s="1"/>
  <c r="AM224" i="3" s="1"/>
  <c r="CG230" i="3"/>
  <c r="CH230" i="3" s="1"/>
  <c r="AM230" i="3" s="1"/>
  <c r="CG148" i="3"/>
  <c r="CH148" i="3" s="1"/>
  <c r="AM148" i="3" s="1"/>
  <c r="BJ102" i="3"/>
  <c r="BL102" i="3" s="1"/>
  <c r="BM102" i="3" s="1"/>
  <c r="AY102" i="3"/>
  <c r="AY267" i="3"/>
  <c r="BJ267" i="3"/>
  <c r="BL267" i="3" s="1"/>
  <c r="BM267" i="3" s="1"/>
  <c r="CG42" i="3"/>
  <c r="CH42" i="3" s="1"/>
  <c r="AM42" i="3" s="1"/>
  <c r="CG231" i="3"/>
  <c r="CH231" i="3" s="1"/>
  <c r="AM231" i="3" s="1"/>
  <c r="CG33" i="3"/>
  <c r="CH33" i="3" s="1"/>
  <c r="AM33" i="3" s="1"/>
  <c r="CG147" i="3"/>
  <c r="CH147" i="3" s="1"/>
  <c r="AM147" i="3" s="1"/>
  <c r="CG6" i="3"/>
  <c r="CH6" i="3" s="1"/>
  <c r="AM6" i="3" s="1"/>
  <c r="CG64" i="3"/>
  <c r="CH64" i="3" s="1"/>
  <c r="AM64" i="3" s="1"/>
  <c r="CG176" i="3"/>
  <c r="CH176" i="3" s="1"/>
  <c r="AM176" i="3" s="1"/>
  <c r="CG167" i="3"/>
  <c r="CH167" i="3" s="1"/>
  <c r="AM167" i="3" s="1"/>
  <c r="CG91" i="3"/>
  <c r="CH91" i="3" s="1"/>
  <c r="AM91" i="3" s="1"/>
  <c r="CG107" i="3"/>
  <c r="CH107" i="3" s="1"/>
  <c r="AM107" i="3" s="1"/>
  <c r="CG25" i="3"/>
  <c r="CH25" i="3" s="1"/>
  <c r="AM25" i="3" s="1"/>
  <c r="CG73" i="3"/>
  <c r="CH73" i="3" s="1"/>
  <c r="AM73" i="3" s="1"/>
  <c r="CG63" i="3"/>
  <c r="CH63" i="3" s="1"/>
  <c r="AM63" i="3" s="1"/>
  <c r="CG53" i="3"/>
  <c r="CH53" i="3" s="1"/>
  <c r="AM53" i="3" s="1"/>
  <c r="CG101" i="3"/>
  <c r="CH101" i="3" s="1"/>
  <c r="AM101" i="3" s="1"/>
  <c r="CG26" i="3"/>
  <c r="CH26" i="3" s="1"/>
  <c r="AM26" i="3" s="1"/>
  <c r="CG180" i="3"/>
  <c r="CH180" i="3" s="1"/>
  <c r="AM180" i="3" s="1"/>
  <c r="CG47" i="3"/>
  <c r="CH47" i="3" s="1"/>
  <c r="AM47" i="3" s="1"/>
  <c r="CG60" i="3"/>
  <c r="CH60" i="3" s="1"/>
  <c r="AM60" i="3" s="1"/>
  <c r="CG154" i="3"/>
  <c r="CH154" i="3" s="1"/>
  <c r="AM154" i="3" s="1"/>
  <c r="CG109" i="3"/>
  <c r="CH109" i="3" s="1"/>
  <c r="AM109" i="3" s="1"/>
  <c r="CG240" i="3"/>
  <c r="CH240" i="3" s="1"/>
  <c r="AM240" i="3" s="1"/>
  <c r="CG250" i="3"/>
  <c r="CH250" i="3" s="1"/>
  <c r="AM250" i="3" s="1"/>
  <c r="CG235" i="3"/>
  <c r="CH235" i="3" s="1"/>
  <c r="AM235" i="3" s="1"/>
  <c r="CG253" i="3"/>
  <c r="CH253" i="3" s="1"/>
  <c r="AM253" i="3" s="1"/>
  <c r="CG223" i="3"/>
  <c r="CH223" i="3" s="1"/>
  <c r="AM223" i="3" s="1"/>
  <c r="CG113" i="3"/>
  <c r="CH113" i="3" s="1"/>
  <c r="AM113" i="3" s="1"/>
  <c r="AY243" i="3"/>
  <c r="BJ243" i="3"/>
  <c r="BL243" i="3" s="1"/>
  <c r="BM243" i="3" s="1"/>
  <c r="AY263" i="3"/>
  <c r="BJ263" i="3"/>
  <c r="BL263" i="3" s="1"/>
  <c r="BM263" i="3" s="1"/>
  <c r="CG89" i="3"/>
  <c r="CH89" i="3" s="1"/>
  <c r="AM89" i="3" s="1"/>
  <c r="CG70" i="3"/>
  <c r="CH70" i="3" s="1"/>
  <c r="AM70" i="3" s="1"/>
  <c r="CG119" i="3"/>
  <c r="CH119" i="3" s="1"/>
  <c r="AM119" i="3" s="1"/>
  <c r="AY32" i="3"/>
  <c r="BJ32" i="3"/>
  <c r="BL32" i="3" s="1"/>
  <c r="BM32" i="3" s="1"/>
  <c r="AT264" i="3"/>
  <c r="AR264" i="3"/>
  <c r="BH264" i="3" s="1"/>
  <c r="AT279" i="3"/>
  <c r="AZ279" i="3" s="1"/>
  <c r="J279" i="9" s="1"/>
  <c r="AR279" i="3"/>
  <c r="BH279" i="3" s="1"/>
  <c r="AM258" i="3"/>
  <c r="AM271" i="3"/>
  <c r="AT290" i="3"/>
  <c r="AZ290" i="3" s="1"/>
  <c r="J290" i="9" s="1"/>
  <c r="AR290" i="3"/>
  <c r="BH290" i="3" s="1"/>
  <c r="AR285" i="3"/>
  <c r="BH285" i="3" s="1"/>
  <c r="AT285" i="3"/>
  <c r="AZ285" i="3" s="1"/>
  <c r="J285" i="9" s="1"/>
  <c r="AM282" i="3"/>
  <c r="AS9" i="3"/>
  <c r="CG9" i="3" s="1"/>
  <c r="CH9" i="3" s="1"/>
  <c r="AS268" i="3"/>
  <c r="CG268" i="3" s="1"/>
  <c r="CH268" i="3" s="1"/>
  <c r="AS13" i="3"/>
  <c r="AS275" i="3"/>
  <c r="CG275" i="3" s="1"/>
  <c r="CH275" i="3" s="1"/>
  <c r="AR69" i="3"/>
  <c r="BH69" i="3" s="1"/>
  <c r="AT69" i="3"/>
  <c r="AZ69" i="3" s="1"/>
  <c r="J69" i="9" s="1"/>
  <c r="AR137" i="3"/>
  <c r="BH137" i="3" s="1"/>
  <c r="AT137" i="3"/>
  <c r="AZ137" i="3" s="1"/>
  <c r="J137" i="9" s="1"/>
  <c r="AR104" i="3"/>
  <c r="BH104" i="3" s="1"/>
  <c r="AT104" i="3"/>
  <c r="AZ104" i="3" s="1"/>
  <c r="J104" i="9" s="1"/>
  <c r="AR10" i="3"/>
  <c r="BH10" i="3" s="1"/>
  <c r="AT10" i="3"/>
  <c r="AZ10" i="3" s="1"/>
  <c r="J10" i="9" s="1"/>
  <c r="AR288" i="3"/>
  <c r="BH288" i="3" s="1"/>
  <c r="AT288" i="3"/>
  <c r="AZ288" i="3" s="1"/>
  <c r="J288" i="9" s="1"/>
  <c r="AR168" i="3"/>
  <c r="BH168" i="3" s="1"/>
  <c r="AT168" i="3"/>
  <c r="AR222" i="3"/>
  <c r="BH222" i="3" s="1"/>
  <c r="AT222" i="3"/>
  <c r="AZ222" i="3" s="1"/>
  <c r="J222" i="9" s="1"/>
  <c r="AR177" i="3"/>
  <c r="BH177" i="3" s="1"/>
  <c r="AT177" i="3"/>
  <c r="AR208" i="3"/>
  <c r="BH208" i="3" s="1"/>
  <c r="AT208" i="3"/>
  <c r="AZ208" i="3" s="1"/>
  <c r="J208" i="9" s="1"/>
  <c r="AR77" i="3"/>
  <c r="AT77" i="3"/>
  <c r="AR157" i="3"/>
  <c r="BH157" i="3" s="1"/>
  <c r="AT157" i="3"/>
  <c r="AZ157" i="3" s="1"/>
  <c r="J157" i="9" s="1"/>
  <c r="AR270" i="3"/>
  <c r="BH270" i="3" s="1"/>
  <c r="AT270" i="3"/>
  <c r="AZ270" i="3" s="1"/>
  <c r="J270" i="9" s="1"/>
  <c r="AR289" i="3"/>
  <c r="AT289" i="3"/>
  <c r="AR93" i="3"/>
  <c r="BH93" i="3" s="1"/>
  <c r="AT93" i="3"/>
  <c r="AZ93" i="3" s="1"/>
  <c r="J93" i="9" s="1"/>
  <c r="AR266" i="3"/>
  <c r="BH266" i="3" s="1"/>
  <c r="AT266" i="3"/>
  <c r="AZ266" i="3" s="1"/>
  <c r="J266" i="9" s="1"/>
  <c r="AR85" i="3"/>
  <c r="BH85" i="3" s="1"/>
  <c r="AT85" i="3"/>
  <c r="AZ85" i="3" s="1"/>
  <c r="J85" i="9" s="1"/>
  <c r="AR12" i="3"/>
  <c r="BH12" i="3" s="1"/>
  <c r="AT12" i="3"/>
  <c r="AR277" i="3"/>
  <c r="BH277" i="3" s="1"/>
  <c r="AT277" i="3"/>
  <c r="AR269" i="3"/>
  <c r="BH269" i="3" s="1"/>
  <c r="AT269" i="3"/>
  <c r="AZ269" i="3" s="1"/>
  <c r="J269" i="9" s="1"/>
  <c r="AR126" i="3"/>
  <c r="AT126" i="3"/>
  <c r="AR188" i="3"/>
  <c r="BH188" i="3" s="1"/>
  <c r="AT188" i="3"/>
  <c r="AR87" i="3"/>
  <c r="BH87" i="3" s="1"/>
  <c r="AT87" i="3"/>
  <c r="AZ87" i="3" s="1"/>
  <c r="J87" i="9" s="1"/>
  <c r="AR20" i="3"/>
  <c r="BH20" i="3" s="1"/>
  <c r="AT20" i="3"/>
  <c r="AZ20" i="3" s="1"/>
  <c r="J20" i="9" s="1"/>
  <c r="AR163" i="3"/>
  <c r="BH163" i="3" s="1"/>
  <c r="AT163" i="3"/>
  <c r="AZ163" i="3" s="1"/>
  <c r="J163" i="9" s="1"/>
  <c r="AR131" i="3"/>
  <c r="AT131" i="3"/>
  <c r="AR236" i="3"/>
  <c r="AT236" i="3"/>
  <c r="AR239" i="3"/>
  <c r="BH239" i="3" s="1"/>
  <c r="AT239" i="3"/>
  <c r="AZ239" i="3" s="1"/>
  <c r="J239" i="9" s="1"/>
  <c r="AR79" i="3"/>
  <c r="AT79" i="3"/>
  <c r="AR135" i="3"/>
  <c r="AT135" i="3"/>
  <c r="AR21" i="3"/>
  <c r="BH21" i="3" s="1"/>
  <c r="AT21" i="3"/>
  <c r="AZ21" i="3" s="1"/>
  <c r="J21" i="9" s="1"/>
  <c r="AR281" i="3"/>
  <c r="BH281" i="3" s="1"/>
  <c r="AT281" i="3"/>
  <c r="AZ281" i="3" s="1"/>
  <c r="J281" i="9" s="1"/>
  <c r="AR272" i="3"/>
  <c r="BH272" i="3" s="1"/>
  <c r="AT272" i="3"/>
  <c r="AZ272" i="3" s="1"/>
  <c r="J272" i="9" s="1"/>
  <c r="AR273" i="3"/>
  <c r="BH273" i="3" s="1"/>
  <c r="AT273" i="3"/>
  <c r="AZ273" i="3" s="1"/>
  <c r="J273" i="9" s="1"/>
  <c r="AR287" i="3"/>
  <c r="BH287" i="3" s="1"/>
  <c r="AT287" i="3"/>
  <c r="AZ287" i="3" s="1"/>
  <c r="J287" i="9" s="1"/>
  <c r="AR130" i="3"/>
  <c r="AT130" i="3"/>
  <c r="AR140" i="3"/>
  <c r="AT140" i="3"/>
  <c r="AR139" i="3"/>
  <c r="AT139" i="3"/>
  <c r="AR183" i="3"/>
  <c r="BH183" i="3" s="1"/>
  <c r="AT183" i="3"/>
  <c r="AZ183" i="3" s="1"/>
  <c r="J183" i="9" s="1"/>
  <c r="AR241" i="3"/>
  <c r="BH241" i="3" s="1"/>
  <c r="AT241" i="3"/>
  <c r="AZ241" i="3" s="1"/>
  <c r="J241" i="9" s="1"/>
  <c r="AR127" i="3"/>
  <c r="BH127" i="3" s="1"/>
  <c r="AT127" i="3"/>
  <c r="AZ127" i="3" s="1"/>
  <c r="J127" i="9" s="1"/>
  <c r="AR83" i="3"/>
  <c r="BH83" i="3" s="1"/>
  <c r="AT83" i="3"/>
  <c r="AZ83" i="3" s="1"/>
  <c r="J83" i="9" s="1"/>
  <c r="AR260" i="3"/>
  <c r="BH260" i="3" s="1"/>
  <c r="AT260" i="3"/>
  <c r="AZ260" i="3" s="1"/>
  <c r="J260" i="9" s="1"/>
  <c r="AR278" i="3"/>
  <c r="BH278" i="3" s="1"/>
  <c r="AT278" i="3"/>
  <c r="AZ278" i="3" s="1"/>
  <c r="J278" i="9" s="1"/>
  <c r="AR280" i="3"/>
  <c r="AT280" i="3"/>
  <c r="AR246" i="3"/>
  <c r="BH246" i="3" s="1"/>
  <c r="AT246" i="3"/>
  <c r="AZ246" i="3" s="1"/>
  <c r="J246" i="9" s="1"/>
  <c r="AR284" i="3"/>
  <c r="BH284" i="3" s="1"/>
  <c r="AT284" i="3"/>
  <c r="AR247" i="3"/>
  <c r="BH247" i="3" s="1"/>
  <c r="AT247" i="3"/>
  <c r="AZ247" i="3" s="1"/>
  <c r="J247" i="9" s="1"/>
  <c r="AR228" i="3"/>
  <c r="AT228" i="3"/>
  <c r="AR111" i="3"/>
  <c r="BH111" i="3" s="1"/>
  <c r="AT111" i="3"/>
  <c r="AZ111" i="3" s="1"/>
  <c r="J111" i="9" s="1"/>
  <c r="AR251" i="3"/>
  <c r="BH251" i="3" s="1"/>
  <c r="AT251" i="3"/>
  <c r="AR84" i="3"/>
  <c r="BH84" i="3" s="1"/>
  <c r="AT84" i="3"/>
  <c r="AZ84" i="3" s="1"/>
  <c r="J84" i="9" s="1"/>
  <c r="AR123" i="3"/>
  <c r="BH123" i="3" s="1"/>
  <c r="AT123" i="3"/>
  <c r="AR51" i="3"/>
  <c r="BH51" i="3" s="1"/>
  <c r="AR80" i="3"/>
  <c r="AR129" i="3"/>
  <c r="AR92" i="3"/>
  <c r="BH92" i="3" s="1"/>
  <c r="AM95" i="3"/>
  <c r="AM226" i="3"/>
  <c r="AM117" i="3"/>
  <c r="AT117" i="3" s="1"/>
  <c r="AM103" i="3"/>
  <c r="AM121" i="3"/>
  <c r="AM99" i="3"/>
  <c r="AM86" i="3"/>
  <c r="AM105" i="3"/>
  <c r="AM238" i="3"/>
  <c r="AT238" i="3" s="1"/>
  <c r="AM133" i="3"/>
  <c r="AT133" i="3" s="1"/>
  <c r="AZ133" i="3" s="1"/>
  <c r="J133" i="9" s="1"/>
  <c r="AM203" i="3"/>
  <c r="AT203" i="3" s="1"/>
  <c r="AZ203" i="3" s="1"/>
  <c r="J203" i="9" s="1"/>
  <c r="AM286" i="3"/>
  <c r="AT286" i="3" s="1"/>
  <c r="AM276" i="3"/>
  <c r="AT276" i="3" s="1"/>
  <c r="AM22" i="3"/>
  <c r="AT22" i="3" s="1"/>
  <c r="AZ22" i="3" s="1"/>
  <c r="J22" i="9" s="1"/>
  <c r="AM265" i="3"/>
  <c r="AT265" i="3" s="1"/>
  <c r="AM174" i="3"/>
  <c r="AT174" i="3" s="1"/>
  <c r="AZ174" i="3" s="1"/>
  <c r="J174" i="9" s="1"/>
  <c r="AM106" i="3"/>
  <c r="AT106" i="3" s="1"/>
  <c r="AM150" i="3"/>
  <c r="AM257" i="3"/>
  <c r="AM161" i="3"/>
  <c r="AM49" i="3"/>
  <c r="AM153" i="3"/>
  <c r="AM55" i="3"/>
  <c r="AM56" i="3"/>
  <c r="AM145" i="3"/>
  <c r="AM37" i="3"/>
  <c r="AM141" i="3"/>
  <c r="AM62" i="3"/>
  <c r="AM254" i="3"/>
  <c r="AM149" i="3"/>
  <c r="AM61" i="3"/>
  <c r="AM159" i="3"/>
  <c r="AM151" i="3"/>
  <c r="AM162" i="3"/>
  <c r="AM46" i="3"/>
  <c r="AM262" i="3"/>
  <c r="AM39" i="3"/>
  <c r="AM261" i="3"/>
  <c r="AM210" i="3"/>
  <c r="AM187" i="3"/>
  <c r="AM252" i="3"/>
  <c r="AM200" i="3"/>
  <c r="AM171" i="3"/>
  <c r="AM197" i="3"/>
  <c r="AM234" i="3"/>
  <c r="AM195" i="3"/>
  <c r="AM193" i="3"/>
  <c r="AM209" i="3"/>
  <c r="AM220" i="3"/>
  <c r="AM211" i="3"/>
  <c r="AM244" i="3"/>
  <c r="AM227" i="3"/>
  <c r="AM205" i="3"/>
  <c r="AM172" i="3"/>
  <c r="AM218" i="3"/>
  <c r="AM207" i="3"/>
  <c r="AM217" i="3"/>
  <c r="AM138" i="3"/>
  <c r="AM132" i="3"/>
  <c r="AM125" i="3"/>
  <c r="AM146" i="3"/>
  <c r="AM40" i="3"/>
  <c r="AM41" i="3"/>
  <c r="AM38" i="3"/>
  <c r="AM144" i="3"/>
  <c r="AM48" i="3"/>
  <c r="AM24" i="3"/>
  <c r="AM156" i="3"/>
  <c r="AM155" i="3"/>
  <c r="AM59" i="3"/>
  <c r="AM45" i="3"/>
  <c r="AM158" i="3"/>
  <c r="AM50" i="3"/>
  <c r="AM43" i="3"/>
  <c r="AM169" i="3"/>
  <c r="AM191" i="3"/>
  <c r="AM8" i="3"/>
  <c r="AM181" i="3"/>
  <c r="AM248" i="3"/>
  <c r="AM179" i="3"/>
  <c r="AM67" i="3"/>
  <c r="AM212" i="3"/>
  <c r="AM256" i="3"/>
  <c r="AM204" i="3"/>
  <c r="AM71" i="3"/>
  <c r="AM192" i="3"/>
  <c r="AM170" i="3"/>
  <c r="AM164" i="3"/>
  <c r="AM201" i="3"/>
  <c r="AM213" i="3"/>
  <c r="AM196" i="3"/>
  <c r="AM225" i="3"/>
  <c r="AM134" i="3"/>
  <c r="AM136" i="3"/>
  <c r="AM128" i="3"/>
  <c r="AM233" i="3"/>
  <c r="AM229" i="3"/>
  <c r="AM215" i="3"/>
  <c r="AM202" i="3"/>
  <c r="AM185" i="3"/>
  <c r="AM184" i="3"/>
  <c r="AM166" i="3"/>
  <c r="AM160" i="3"/>
  <c r="AM57" i="3"/>
  <c r="AM44" i="3"/>
  <c r="AM19" i="3"/>
  <c r="AM232" i="3"/>
  <c r="AM214" i="3"/>
  <c r="AZ29" i="3" l="1"/>
  <c r="BB29" i="3" s="1"/>
  <c r="BG29" i="3" s="1"/>
  <c r="BH130" i="3"/>
  <c r="BJ130" i="3" s="1"/>
  <c r="BL130" i="3" s="1"/>
  <c r="BM130" i="3" s="1"/>
  <c r="CX130" i="3"/>
  <c r="CY130" i="3" s="1"/>
  <c r="AU130" i="3" s="1"/>
  <c r="AZ130" i="3" s="1"/>
  <c r="BH289" i="3"/>
  <c r="BJ289" i="3" s="1"/>
  <c r="BL289" i="3" s="1"/>
  <c r="BM289" i="3" s="1"/>
  <c r="CX289" i="3"/>
  <c r="CY289" i="3" s="1"/>
  <c r="AU289" i="3" s="1"/>
  <c r="AY289" i="3" s="1"/>
  <c r="BH139" i="3"/>
  <c r="BJ139" i="3" s="1"/>
  <c r="BL139" i="3" s="1"/>
  <c r="BM139" i="3" s="1"/>
  <c r="CX139" i="3"/>
  <c r="CY139" i="3" s="1"/>
  <c r="AZ139" i="3" s="1"/>
  <c r="BH236" i="3"/>
  <c r="BJ236" i="3" s="1"/>
  <c r="BL236" i="3" s="1"/>
  <c r="BM236" i="3" s="1"/>
  <c r="CX236" i="3"/>
  <c r="CY236" i="3" s="1"/>
  <c r="AU236" i="3" s="1"/>
  <c r="AZ236" i="3" s="1"/>
  <c r="J236" i="9" s="1"/>
  <c r="BH135" i="3"/>
  <c r="BJ135" i="3" s="1"/>
  <c r="BL135" i="3" s="1"/>
  <c r="BM135" i="3" s="1"/>
  <c r="CX135" i="3"/>
  <c r="CY135" i="3" s="1"/>
  <c r="AU135" i="3" s="1"/>
  <c r="AZ135" i="3" s="1"/>
  <c r="J135" i="9" s="1"/>
  <c r="BH29" i="3"/>
  <c r="BJ29" i="3" s="1"/>
  <c r="BL29" i="3" s="1"/>
  <c r="BM29" i="3" s="1"/>
  <c r="AY29" i="3"/>
  <c r="AV204" i="3"/>
  <c r="BB85" i="3"/>
  <c r="BG85" i="3" s="1"/>
  <c r="BB102" i="3"/>
  <c r="BG102" i="3" s="1"/>
  <c r="BB203" i="3"/>
  <c r="BG203" i="3" s="1"/>
  <c r="BB263" i="3"/>
  <c r="BG263" i="3" s="1"/>
  <c r="BB22" i="3"/>
  <c r="BG22" i="3" s="1"/>
  <c r="BB111" i="3"/>
  <c r="BG111" i="3" s="1"/>
  <c r="BB246" i="3"/>
  <c r="BG246" i="3" s="1"/>
  <c r="BB83" i="3"/>
  <c r="BG83" i="3" s="1"/>
  <c r="BB273" i="3"/>
  <c r="BG273" i="3" s="1"/>
  <c r="BB208" i="3"/>
  <c r="BG208" i="3" s="1"/>
  <c r="BB288" i="3"/>
  <c r="BG288" i="3" s="1"/>
  <c r="BB69" i="3"/>
  <c r="BG69" i="3" s="1"/>
  <c r="BB96" i="3"/>
  <c r="BG96" i="3" s="1"/>
  <c r="BB120" i="3"/>
  <c r="BG120" i="3" s="1"/>
  <c r="BB272" i="3"/>
  <c r="BG272" i="3" s="1"/>
  <c r="BB10" i="3"/>
  <c r="BG10" i="3" s="1"/>
  <c r="BB28" i="3"/>
  <c r="BG28" i="3" s="1"/>
  <c r="BB285" i="3"/>
  <c r="BG285" i="3" s="1"/>
  <c r="BB27" i="3"/>
  <c r="BG27" i="3" s="1"/>
  <c r="BB237" i="3"/>
  <c r="BG237" i="3" s="1"/>
  <c r="BB88" i="3"/>
  <c r="BG88" i="3" s="1"/>
  <c r="BB127" i="3"/>
  <c r="BG127" i="3" s="1"/>
  <c r="BB163" i="3"/>
  <c r="BG163" i="3" s="1"/>
  <c r="BB112" i="3"/>
  <c r="BG112" i="3" s="1"/>
  <c r="BB100" i="3"/>
  <c r="BG100" i="3" s="1"/>
  <c r="BB133" i="3"/>
  <c r="BG133" i="3" s="1"/>
  <c r="BB84" i="3"/>
  <c r="BG84" i="3" s="1"/>
  <c r="BB247" i="3"/>
  <c r="BG247" i="3" s="1"/>
  <c r="BB278" i="3"/>
  <c r="BG278" i="3" s="1"/>
  <c r="BB241" i="3"/>
  <c r="BG241" i="3" s="1"/>
  <c r="BB281" i="3"/>
  <c r="BG281" i="3" s="1"/>
  <c r="BB239" i="3"/>
  <c r="BG239" i="3" s="1"/>
  <c r="BB20" i="3"/>
  <c r="BG20" i="3" s="1"/>
  <c r="BB269" i="3"/>
  <c r="BG269" i="3" s="1"/>
  <c r="BB266" i="3"/>
  <c r="BG266" i="3" s="1"/>
  <c r="BB157" i="3"/>
  <c r="BG157" i="3" s="1"/>
  <c r="BB222" i="3"/>
  <c r="BG222" i="3" s="1"/>
  <c r="BB104" i="3"/>
  <c r="BG104" i="3" s="1"/>
  <c r="BB124" i="3"/>
  <c r="BG124" i="3" s="1"/>
  <c r="BB31" i="3"/>
  <c r="BG31" i="3" s="1"/>
  <c r="BB90" i="3"/>
  <c r="BG90" i="3" s="1"/>
  <c r="BB283" i="3"/>
  <c r="BG283" i="3" s="1"/>
  <c r="BB270" i="3"/>
  <c r="BG270" i="3" s="1"/>
  <c r="BB290" i="3"/>
  <c r="BG290" i="3" s="1"/>
  <c r="BB35" i="3"/>
  <c r="BG35" i="3" s="1"/>
  <c r="BB36" i="3"/>
  <c r="BG36" i="3" s="1"/>
  <c r="BB245" i="3"/>
  <c r="BG245" i="3" s="1"/>
  <c r="BB81" i="3"/>
  <c r="BG81" i="3" s="1"/>
  <c r="BB174" i="3"/>
  <c r="BG174" i="3" s="1"/>
  <c r="BB260" i="3"/>
  <c r="BG260" i="3" s="1"/>
  <c r="BB183" i="3"/>
  <c r="BG183" i="3" s="1"/>
  <c r="BB287" i="3"/>
  <c r="BG287" i="3" s="1"/>
  <c r="BB21" i="3"/>
  <c r="BG21" i="3" s="1"/>
  <c r="BB87" i="3"/>
  <c r="BG87" i="3" s="1"/>
  <c r="BB93" i="3"/>
  <c r="BG93" i="3" s="1"/>
  <c r="BB137" i="3"/>
  <c r="BG137" i="3" s="1"/>
  <c r="BB279" i="3"/>
  <c r="BG279" i="3" s="1"/>
  <c r="BB34" i="3"/>
  <c r="BG34" i="3" s="1"/>
  <c r="BB82" i="3"/>
  <c r="BG82" i="3" s="1"/>
  <c r="BH77" i="3"/>
  <c r="BJ77" i="3" s="1"/>
  <c r="BL77" i="3" s="1"/>
  <c r="BM77" i="3" s="1"/>
  <c r="CX77" i="3"/>
  <c r="CY77" i="3" s="1"/>
  <c r="AU77" i="3" s="1"/>
  <c r="AZ77" i="3" s="1"/>
  <c r="J77" i="9" s="1"/>
  <c r="BH131" i="3"/>
  <c r="BJ131" i="3" s="1"/>
  <c r="BL131" i="3" s="1"/>
  <c r="BM131" i="3" s="1"/>
  <c r="CX131" i="3"/>
  <c r="CY131" i="3" s="1"/>
  <c r="AU131" i="3" s="1"/>
  <c r="AY131" i="3" s="1"/>
  <c r="BH65" i="3"/>
  <c r="BJ65" i="3" s="1"/>
  <c r="BL65" i="3" s="1"/>
  <c r="BM65" i="3" s="1"/>
  <c r="CX65" i="3"/>
  <c r="CY65" i="3" s="1"/>
  <c r="AU65" i="3" s="1"/>
  <c r="AZ65" i="3" s="1"/>
  <c r="J65" i="9" s="1"/>
  <c r="BH110" i="3"/>
  <c r="BJ110" i="3" s="1"/>
  <c r="BL110" i="3" s="1"/>
  <c r="BM110" i="3" s="1"/>
  <c r="CX110" i="3"/>
  <c r="CY110" i="3" s="1"/>
  <c r="AU110" i="3" s="1"/>
  <c r="AZ110" i="3" s="1"/>
  <c r="J110" i="9" s="1"/>
  <c r="BH129" i="3"/>
  <c r="BJ129" i="3" s="1"/>
  <c r="BL129" i="3" s="1"/>
  <c r="BM129" i="3" s="1"/>
  <c r="CX129" i="3"/>
  <c r="CY129" i="3" s="1"/>
  <c r="AU129" i="3" s="1"/>
  <c r="AZ129" i="3" s="1"/>
  <c r="J129" i="9" s="1"/>
  <c r="BH228" i="3"/>
  <c r="BJ228" i="3" s="1"/>
  <c r="BL228" i="3" s="1"/>
  <c r="BM228" i="3" s="1"/>
  <c r="CX228" i="3"/>
  <c r="CY228" i="3" s="1"/>
  <c r="AU228" i="3" s="1"/>
  <c r="AZ228" i="3" s="1"/>
  <c r="J228" i="9" s="1"/>
  <c r="BH280" i="3"/>
  <c r="BJ280" i="3" s="1"/>
  <c r="BL280" i="3" s="1"/>
  <c r="BM280" i="3" s="1"/>
  <c r="CX280" i="3"/>
  <c r="CY280" i="3" s="1"/>
  <c r="AU280" i="3" s="1"/>
  <c r="AZ280" i="3" s="1"/>
  <c r="J280" i="9" s="1"/>
  <c r="BH140" i="3"/>
  <c r="BJ140" i="3" s="1"/>
  <c r="BL140" i="3" s="1"/>
  <c r="BM140" i="3" s="1"/>
  <c r="CX140" i="3"/>
  <c r="CY140" i="3" s="1"/>
  <c r="AU140" i="3" s="1"/>
  <c r="AY140" i="3" s="1"/>
  <c r="BH79" i="3"/>
  <c r="BJ79" i="3" s="1"/>
  <c r="BL79" i="3" s="1"/>
  <c r="BM79" i="3" s="1"/>
  <c r="CX79" i="3"/>
  <c r="CY79" i="3" s="1"/>
  <c r="AU79" i="3" s="1"/>
  <c r="AZ79" i="3" s="1"/>
  <c r="J79" i="9" s="1"/>
  <c r="BH126" i="3"/>
  <c r="BJ126" i="3" s="1"/>
  <c r="BL126" i="3" s="1"/>
  <c r="BM126" i="3" s="1"/>
  <c r="CX126" i="3"/>
  <c r="CY126" i="3" s="1"/>
  <c r="AU126" i="3" s="1"/>
  <c r="AY126" i="3" s="1"/>
  <c r="BH80" i="3"/>
  <c r="BJ80" i="3" s="1"/>
  <c r="BL80" i="3" s="1"/>
  <c r="BM80" i="3" s="1"/>
  <c r="CX80" i="3"/>
  <c r="CY80" i="3" s="1"/>
  <c r="AU80" i="3" s="1"/>
  <c r="AZ80" i="3" s="1"/>
  <c r="J80" i="9" s="1"/>
  <c r="BH114" i="3"/>
  <c r="BJ114" i="3" s="1"/>
  <c r="BL114" i="3" s="1"/>
  <c r="BM114" i="3" s="1"/>
  <c r="CX114" i="3"/>
  <c r="CY114" i="3" s="1"/>
  <c r="AU114" i="3" s="1"/>
  <c r="AZ114" i="3" s="1"/>
  <c r="J114" i="9" s="1"/>
  <c r="AZ116" i="3"/>
  <c r="J116" i="9" s="1"/>
  <c r="AY81" i="3"/>
  <c r="AZ122" i="3"/>
  <c r="J122" i="9" s="1"/>
  <c r="AZ255" i="3"/>
  <c r="J255" i="9" s="1"/>
  <c r="BJ10" i="3"/>
  <c r="BL10" i="3" s="1"/>
  <c r="BM10" i="3" s="1"/>
  <c r="AY10" i="3"/>
  <c r="CY92" i="3"/>
  <c r="AU92" i="3" s="1"/>
  <c r="AZ92" i="3" s="1"/>
  <c r="J92" i="9" s="1"/>
  <c r="BJ92" i="3"/>
  <c r="BL92" i="3" s="1"/>
  <c r="BM92" i="3" s="1"/>
  <c r="CY108" i="3"/>
  <c r="AU108" i="3" s="1"/>
  <c r="AZ108" i="3" s="1"/>
  <c r="J108" i="9" s="1"/>
  <c r="BJ108" i="3"/>
  <c r="BL108" i="3" s="1"/>
  <c r="BM108" i="3" s="1"/>
  <c r="CY251" i="3"/>
  <c r="AU251" i="3" s="1"/>
  <c r="AY251" i="3" s="1"/>
  <c r="BJ251" i="3"/>
  <c r="BL251" i="3" s="1"/>
  <c r="BM251" i="3" s="1"/>
  <c r="CY284" i="3"/>
  <c r="AU284" i="3" s="1"/>
  <c r="AY284" i="3" s="1"/>
  <c r="BJ284" i="3"/>
  <c r="BL284" i="3" s="1"/>
  <c r="BM284" i="3" s="1"/>
  <c r="CY277" i="3"/>
  <c r="AU277" i="3" s="1"/>
  <c r="AZ277" i="3" s="1"/>
  <c r="J277" i="9" s="1"/>
  <c r="BJ277" i="3"/>
  <c r="BL277" i="3" s="1"/>
  <c r="BM277" i="3" s="1"/>
  <c r="CY168" i="3"/>
  <c r="AU168" i="3" s="1"/>
  <c r="AZ168" i="3" s="1"/>
  <c r="J168" i="9" s="1"/>
  <c r="BJ168" i="3"/>
  <c r="BL168" i="3" s="1"/>
  <c r="BM168" i="3" s="1"/>
  <c r="CY264" i="3"/>
  <c r="AU264" i="3" s="1"/>
  <c r="AY264" i="3" s="1"/>
  <c r="BJ264" i="3"/>
  <c r="BL264" i="3" s="1"/>
  <c r="BM264" i="3" s="1"/>
  <c r="AY274" i="3"/>
  <c r="BJ274" i="3"/>
  <c r="BL274" i="3" s="1"/>
  <c r="BM274" i="3" s="1"/>
  <c r="BJ259" i="3"/>
  <c r="BL259" i="3" s="1"/>
  <c r="BM259" i="3" s="1"/>
  <c r="BJ85" i="3"/>
  <c r="BL85" i="3" s="1"/>
  <c r="BM85" i="3" s="1"/>
  <c r="AY85" i="3"/>
  <c r="CY188" i="3"/>
  <c r="AU188" i="3" s="1"/>
  <c r="AZ188" i="3" s="1"/>
  <c r="J188" i="9" s="1"/>
  <c r="CY12" i="3"/>
  <c r="AU12" i="3" s="1"/>
  <c r="AZ12" i="3" s="1"/>
  <c r="J12" i="9" s="1"/>
  <c r="BJ12" i="3"/>
  <c r="BL12" i="3" s="1"/>
  <c r="BM12" i="3" s="1"/>
  <c r="CY123" i="3"/>
  <c r="AU123" i="3" s="1"/>
  <c r="AY123" i="3" s="1"/>
  <c r="BJ123" i="3"/>
  <c r="BL123" i="3" s="1"/>
  <c r="BM123" i="3" s="1"/>
  <c r="CY177" i="3"/>
  <c r="AU177" i="3" s="1"/>
  <c r="AY177" i="3" s="1"/>
  <c r="BJ177" i="3"/>
  <c r="BL177" i="3" s="1"/>
  <c r="BM177" i="3" s="1"/>
  <c r="AY94" i="3"/>
  <c r="BJ94" i="3"/>
  <c r="BL94" i="3" s="1"/>
  <c r="BM94" i="3" s="1"/>
  <c r="AY259" i="3"/>
  <c r="AR199" i="3"/>
  <c r="BH199" i="3" s="1"/>
  <c r="AT199" i="3"/>
  <c r="AR182" i="3"/>
  <c r="BH182" i="3" s="1"/>
  <c r="AT182" i="3"/>
  <c r="AZ182" i="3" s="1"/>
  <c r="J182" i="9" s="1"/>
  <c r="AR7" i="3"/>
  <c r="BH7" i="3" s="1"/>
  <c r="AT7" i="3"/>
  <c r="AZ7" i="3" s="1"/>
  <c r="J7" i="9" s="1"/>
  <c r="AR98" i="3"/>
  <c r="BH98" i="3" s="1"/>
  <c r="AT98" i="3"/>
  <c r="AZ98" i="3" s="1"/>
  <c r="J98" i="9" s="1"/>
  <c r="AT11" i="3"/>
  <c r="AR11" i="3"/>
  <c r="AR74" i="3"/>
  <c r="AT74" i="3"/>
  <c r="AR223" i="3"/>
  <c r="AT223" i="3"/>
  <c r="AR235" i="3"/>
  <c r="BH235" i="3" s="1"/>
  <c r="AT235" i="3"/>
  <c r="AZ235" i="3" s="1"/>
  <c r="J235" i="9" s="1"/>
  <c r="AR240" i="3"/>
  <c r="BH240" i="3" s="1"/>
  <c r="AT240" i="3"/>
  <c r="AZ240" i="3" s="1"/>
  <c r="J240" i="9" s="1"/>
  <c r="AT68" i="3"/>
  <c r="AR68" i="3"/>
  <c r="AR60" i="3"/>
  <c r="BH60" i="3" s="1"/>
  <c r="AT60" i="3"/>
  <c r="AZ60" i="3" s="1"/>
  <c r="J60" i="9" s="1"/>
  <c r="AR180" i="3"/>
  <c r="AT180" i="3"/>
  <c r="AR26" i="3"/>
  <c r="AT26" i="3"/>
  <c r="AR53" i="3"/>
  <c r="BH53" i="3" s="1"/>
  <c r="AT53" i="3"/>
  <c r="AZ53" i="3" s="1"/>
  <c r="J53" i="9" s="1"/>
  <c r="AR73" i="3"/>
  <c r="BH73" i="3" s="1"/>
  <c r="AT73" i="3"/>
  <c r="AR107" i="3"/>
  <c r="BH107" i="3" s="1"/>
  <c r="AT107" i="3"/>
  <c r="AR167" i="3"/>
  <c r="BH167" i="3" s="1"/>
  <c r="AT167" i="3"/>
  <c r="AZ167" i="3" s="1"/>
  <c r="J167" i="9" s="1"/>
  <c r="AR64" i="3"/>
  <c r="BH64" i="3" s="1"/>
  <c r="AT64" i="3"/>
  <c r="AZ64" i="3" s="1"/>
  <c r="J64" i="9" s="1"/>
  <c r="AT6" i="3"/>
  <c r="AZ6" i="3" s="1"/>
  <c r="J6" i="9" s="1"/>
  <c r="AR6" i="3"/>
  <c r="BH6" i="3" s="1"/>
  <c r="AR33" i="3"/>
  <c r="BH33" i="3" s="1"/>
  <c r="AT33" i="3"/>
  <c r="AZ33" i="3" s="1"/>
  <c r="J33" i="9" s="1"/>
  <c r="AT52" i="3"/>
  <c r="AZ52" i="3" s="1"/>
  <c r="J52" i="9" s="1"/>
  <c r="AR52" i="3"/>
  <c r="BH52" i="3" s="1"/>
  <c r="AR42" i="3"/>
  <c r="BH42" i="3" s="1"/>
  <c r="AT42" i="3"/>
  <c r="AT230" i="3"/>
  <c r="AR230" i="3"/>
  <c r="BH230" i="3" s="1"/>
  <c r="AR219" i="3"/>
  <c r="BH219" i="3" s="1"/>
  <c r="AT219" i="3"/>
  <c r="AZ219" i="3" s="1"/>
  <c r="J219" i="9" s="1"/>
  <c r="AR242" i="3"/>
  <c r="AT242" i="3"/>
  <c r="AT115" i="3"/>
  <c r="AZ115" i="3" s="1"/>
  <c r="J115" i="9" s="1"/>
  <c r="AR115" i="3"/>
  <c r="BH115" i="3" s="1"/>
  <c r="AR173" i="3"/>
  <c r="BH173" i="3" s="1"/>
  <c r="AT173" i="3"/>
  <c r="AZ173" i="3" s="1"/>
  <c r="J173" i="9" s="1"/>
  <c r="AR186" i="3"/>
  <c r="AT186" i="3"/>
  <c r="AR190" i="3"/>
  <c r="AT190" i="3"/>
  <c r="AR206" i="3"/>
  <c r="BH206" i="3" s="1"/>
  <c r="AT206" i="3"/>
  <c r="AZ206" i="3" s="1"/>
  <c r="J206" i="9" s="1"/>
  <c r="AR75" i="3"/>
  <c r="AT75" i="3"/>
  <c r="AR152" i="3"/>
  <c r="BH152" i="3" s="1"/>
  <c r="AT152" i="3"/>
  <c r="AZ152" i="3" s="1"/>
  <c r="J152" i="9" s="1"/>
  <c r="AR23" i="3"/>
  <c r="BH23" i="3" s="1"/>
  <c r="AT23" i="3"/>
  <c r="AZ23" i="3" s="1"/>
  <c r="J23" i="9" s="1"/>
  <c r="AR66" i="3"/>
  <c r="BH66" i="3" s="1"/>
  <c r="AT66" i="3"/>
  <c r="AZ66" i="3" s="1"/>
  <c r="J66" i="9" s="1"/>
  <c r="AT119" i="3"/>
  <c r="AR119" i="3"/>
  <c r="BH119" i="3" s="1"/>
  <c r="AR70" i="3"/>
  <c r="BH70" i="3" s="1"/>
  <c r="AT70" i="3"/>
  <c r="AZ70" i="3" s="1"/>
  <c r="J70" i="9" s="1"/>
  <c r="AR89" i="3"/>
  <c r="BH89" i="3" s="1"/>
  <c r="AT89" i="3"/>
  <c r="AZ89" i="3" s="1"/>
  <c r="J89" i="9" s="1"/>
  <c r="AR113" i="3"/>
  <c r="AT113" i="3"/>
  <c r="AR253" i="3"/>
  <c r="BH253" i="3" s="1"/>
  <c r="AT253" i="3"/>
  <c r="AR250" i="3"/>
  <c r="BH250" i="3" s="1"/>
  <c r="AT250" i="3"/>
  <c r="AT109" i="3"/>
  <c r="AZ109" i="3" s="1"/>
  <c r="J109" i="9" s="1"/>
  <c r="AR109" i="3"/>
  <c r="BH109" i="3" s="1"/>
  <c r="AR154" i="3"/>
  <c r="AT154" i="3"/>
  <c r="AR47" i="3"/>
  <c r="BH47" i="3" s="1"/>
  <c r="AT47" i="3"/>
  <c r="AZ47" i="3" s="1"/>
  <c r="J47" i="9" s="1"/>
  <c r="AR78" i="3"/>
  <c r="AT78" i="3"/>
  <c r="AT101" i="3"/>
  <c r="AR101" i="3"/>
  <c r="AR63" i="3"/>
  <c r="BH63" i="3" s="1"/>
  <c r="AT63" i="3"/>
  <c r="AZ63" i="3" s="1"/>
  <c r="J63" i="9" s="1"/>
  <c r="AR25" i="3"/>
  <c r="BH25" i="3" s="1"/>
  <c r="AT25" i="3"/>
  <c r="AZ25" i="3" s="1"/>
  <c r="J25" i="9" s="1"/>
  <c r="AT91" i="3"/>
  <c r="AZ91" i="3" s="1"/>
  <c r="J91" i="9" s="1"/>
  <c r="AR91" i="3"/>
  <c r="BH91" i="3" s="1"/>
  <c r="AR176" i="3"/>
  <c r="BH176" i="3" s="1"/>
  <c r="AT176" i="3"/>
  <c r="AZ176" i="3" s="1"/>
  <c r="J176" i="9" s="1"/>
  <c r="AT76" i="3"/>
  <c r="AR76" i="3"/>
  <c r="BH76" i="3" s="1"/>
  <c r="AR147" i="3"/>
  <c r="AT147" i="3"/>
  <c r="AT30" i="3"/>
  <c r="AR30" i="3"/>
  <c r="AR231" i="3"/>
  <c r="BH231" i="3" s="1"/>
  <c r="AT231" i="3"/>
  <c r="AZ231" i="3" s="1"/>
  <c r="J231" i="9" s="1"/>
  <c r="AR148" i="3"/>
  <c r="BH148" i="3" s="1"/>
  <c r="AT148" i="3"/>
  <c r="AZ148" i="3" s="1"/>
  <c r="J148" i="9" s="1"/>
  <c r="AT224" i="3"/>
  <c r="AR224" i="3"/>
  <c r="AR216" i="3"/>
  <c r="BH216" i="3" s="1"/>
  <c r="AT216" i="3"/>
  <c r="AZ216" i="3" s="1"/>
  <c r="J216" i="9" s="1"/>
  <c r="AR221" i="3"/>
  <c r="BH221" i="3" s="1"/>
  <c r="AT221" i="3"/>
  <c r="AZ221" i="3" s="1"/>
  <c r="J221" i="9" s="1"/>
  <c r="AT118" i="3"/>
  <c r="AZ118" i="3" s="1"/>
  <c r="J118" i="9" s="1"/>
  <c r="AR118" i="3"/>
  <c r="BH118" i="3" s="1"/>
  <c r="AR194" i="3"/>
  <c r="AT194" i="3"/>
  <c r="AR189" i="3"/>
  <c r="BH189" i="3" s="1"/>
  <c r="AT189" i="3"/>
  <c r="AZ189" i="3" s="1"/>
  <c r="J189" i="9" s="1"/>
  <c r="AR175" i="3"/>
  <c r="BH175" i="3" s="1"/>
  <c r="AT175" i="3"/>
  <c r="AT97" i="3"/>
  <c r="AR97" i="3"/>
  <c r="BH97" i="3" s="1"/>
  <c r="AR142" i="3"/>
  <c r="AT142" i="3"/>
  <c r="AR165" i="3"/>
  <c r="BH165" i="3" s="1"/>
  <c r="AT165" i="3"/>
  <c r="AR198" i="3"/>
  <c r="BH198" i="3" s="1"/>
  <c r="AT198" i="3"/>
  <c r="AZ198" i="3" s="1"/>
  <c r="J198" i="9" s="1"/>
  <c r="AR72" i="3"/>
  <c r="BH72" i="3" s="1"/>
  <c r="AT72" i="3"/>
  <c r="AZ72" i="3" s="1"/>
  <c r="J72" i="9" s="1"/>
  <c r="BJ285" i="3"/>
  <c r="BL285" i="3" s="1"/>
  <c r="BM285" i="3" s="1"/>
  <c r="AY285" i="3"/>
  <c r="AY124" i="3"/>
  <c r="BJ124" i="3"/>
  <c r="BL124" i="3" s="1"/>
  <c r="BM124" i="3" s="1"/>
  <c r="BJ96" i="3"/>
  <c r="BL96" i="3" s="1"/>
  <c r="BM96" i="3" s="1"/>
  <c r="AY96" i="3"/>
  <c r="AY35" i="3"/>
  <c r="BJ35" i="3"/>
  <c r="BL35" i="3" s="1"/>
  <c r="BM35" i="3" s="1"/>
  <c r="BJ31" i="3"/>
  <c r="BL31" i="3" s="1"/>
  <c r="BM31" i="3" s="1"/>
  <c r="AY31" i="3"/>
  <c r="BJ90" i="3"/>
  <c r="BL90" i="3" s="1"/>
  <c r="BM90" i="3" s="1"/>
  <c r="AY90" i="3"/>
  <c r="AY34" i="3"/>
  <c r="BJ34" i="3"/>
  <c r="BL34" i="3" s="1"/>
  <c r="BM34" i="3" s="1"/>
  <c r="AY120" i="3"/>
  <c r="BJ120" i="3"/>
  <c r="BL120" i="3" s="1"/>
  <c r="BM120" i="3" s="1"/>
  <c r="BJ112" i="3"/>
  <c r="BL112" i="3" s="1"/>
  <c r="BM112" i="3" s="1"/>
  <c r="AY112" i="3"/>
  <c r="BJ28" i="3"/>
  <c r="BL28" i="3" s="1"/>
  <c r="BM28" i="3" s="1"/>
  <c r="AY28" i="3"/>
  <c r="BJ283" i="3"/>
  <c r="BL283" i="3" s="1"/>
  <c r="BM283" i="3" s="1"/>
  <c r="AY283" i="3"/>
  <c r="AY82" i="3"/>
  <c r="BJ82" i="3"/>
  <c r="BL82" i="3" s="1"/>
  <c r="BM82" i="3" s="1"/>
  <c r="AY51" i="3"/>
  <c r="BJ51" i="3"/>
  <c r="BL51" i="3" s="1"/>
  <c r="BM51" i="3" s="1"/>
  <c r="BJ84" i="3"/>
  <c r="BL84" i="3" s="1"/>
  <c r="BM84" i="3" s="1"/>
  <c r="AY84" i="3"/>
  <c r="BJ111" i="3"/>
  <c r="BL111" i="3" s="1"/>
  <c r="BM111" i="3" s="1"/>
  <c r="AY111" i="3"/>
  <c r="AY247" i="3"/>
  <c r="BJ247" i="3"/>
  <c r="BL247" i="3" s="1"/>
  <c r="BM247" i="3" s="1"/>
  <c r="AY246" i="3"/>
  <c r="BJ246" i="3"/>
  <c r="BL246" i="3" s="1"/>
  <c r="BM246" i="3" s="1"/>
  <c r="AY278" i="3"/>
  <c r="BJ278" i="3"/>
  <c r="BL278" i="3" s="1"/>
  <c r="BM278" i="3" s="1"/>
  <c r="AY260" i="3"/>
  <c r="BJ260" i="3"/>
  <c r="BL260" i="3" s="1"/>
  <c r="BM260" i="3" s="1"/>
  <c r="AY83" i="3"/>
  <c r="BJ83" i="3"/>
  <c r="BL83" i="3" s="1"/>
  <c r="BM83" i="3" s="1"/>
  <c r="BJ127" i="3"/>
  <c r="BL127" i="3" s="1"/>
  <c r="BM127" i="3" s="1"/>
  <c r="AY127" i="3"/>
  <c r="AY241" i="3"/>
  <c r="BJ241" i="3"/>
  <c r="BL241" i="3" s="1"/>
  <c r="BM241" i="3" s="1"/>
  <c r="BJ183" i="3"/>
  <c r="BL183" i="3" s="1"/>
  <c r="BM183" i="3" s="1"/>
  <c r="AY183" i="3"/>
  <c r="AY287" i="3"/>
  <c r="BJ287" i="3"/>
  <c r="BL287" i="3" s="1"/>
  <c r="BM287" i="3" s="1"/>
  <c r="AY273" i="3"/>
  <c r="BJ273" i="3"/>
  <c r="BL273" i="3" s="1"/>
  <c r="BM273" i="3" s="1"/>
  <c r="AY272" i="3"/>
  <c r="BJ272" i="3"/>
  <c r="BL272" i="3" s="1"/>
  <c r="BM272" i="3" s="1"/>
  <c r="BJ281" i="3"/>
  <c r="BL281" i="3" s="1"/>
  <c r="BM281" i="3" s="1"/>
  <c r="AY281" i="3"/>
  <c r="BJ21" i="3"/>
  <c r="BL21" i="3" s="1"/>
  <c r="BM21" i="3" s="1"/>
  <c r="AY21" i="3"/>
  <c r="AY239" i="3"/>
  <c r="BJ239" i="3"/>
  <c r="BL239" i="3" s="1"/>
  <c r="BM239" i="3" s="1"/>
  <c r="BJ163" i="3"/>
  <c r="BL163" i="3" s="1"/>
  <c r="BM163" i="3" s="1"/>
  <c r="AY163" i="3"/>
  <c r="AY20" i="3"/>
  <c r="BJ20" i="3"/>
  <c r="BL20" i="3" s="1"/>
  <c r="BM20" i="3" s="1"/>
  <c r="AY87" i="3"/>
  <c r="BJ87" i="3"/>
  <c r="BL87" i="3" s="1"/>
  <c r="BM87" i="3" s="1"/>
  <c r="BJ188" i="3"/>
  <c r="BL188" i="3" s="1"/>
  <c r="BM188" i="3" s="1"/>
  <c r="AY269" i="3"/>
  <c r="BJ269" i="3"/>
  <c r="BL269" i="3" s="1"/>
  <c r="BM269" i="3" s="1"/>
  <c r="AY266" i="3"/>
  <c r="BJ266" i="3"/>
  <c r="BL266" i="3" s="1"/>
  <c r="BM266" i="3" s="1"/>
  <c r="AY93" i="3"/>
  <c r="BJ93" i="3"/>
  <c r="BL93" i="3" s="1"/>
  <c r="BM93" i="3" s="1"/>
  <c r="AY270" i="3"/>
  <c r="BJ270" i="3"/>
  <c r="BL270" i="3" s="1"/>
  <c r="BM270" i="3" s="1"/>
  <c r="BJ157" i="3"/>
  <c r="BL157" i="3" s="1"/>
  <c r="BM157" i="3" s="1"/>
  <c r="AY157" i="3"/>
  <c r="AY208" i="3"/>
  <c r="BJ208" i="3"/>
  <c r="BL208" i="3" s="1"/>
  <c r="BM208" i="3" s="1"/>
  <c r="AY222" i="3"/>
  <c r="BJ222" i="3"/>
  <c r="BL222" i="3" s="1"/>
  <c r="BM222" i="3" s="1"/>
  <c r="AY288" i="3"/>
  <c r="BJ288" i="3"/>
  <c r="BL288" i="3" s="1"/>
  <c r="BM288" i="3" s="1"/>
  <c r="BJ104" i="3"/>
  <c r="BL104" i="3" s="1"/>
  <c r="BM104" i="3" s="1"/>
  <c r="AY104" i="3"/>
  <c r="BJ137" i="3"/>
  <c r="BL137" i="3" s="1"/>
  <c r="BM137" i="3" s="1"/>
  <c r="AY137" i="3"/>
  <c r="AY69" i="3"/>
  <c r="BJ69" i="3"/>
  <c r="BL69" i="3" s="1"/>
  <c r="BM69" i="3" s="1"/>
  <c r="CG13" i="3"/>
  <c r="CH13" i="3" s="1"/>
  <c r="AM13" i="3" s="1"/>
  <c r="AY290" i="3"/>
  <c r="BJ290" i="3"/>
  <c r="BL290" i="3" s="1"/>
  <c r="BM290" i="3" s="1"/>
  <c r="AY279" i="3"/>
  <c r="BJ279" i="3"/>
  <c r="BL279" i="3" s="1"/>
  <c r="BM279" i="3" s="1"/>
  <c r="AY36" i="3"/>
  <c r="BJ36" i="3"/>
  <c r="BL36" i="3" s="1"/>
  <c r="BM36" i="3" s="1"/>
  <c r="AY237" i="3"/>
  <c r="BJ237" i="3"/>
  <c r="BL237" i="3" s="1"/>
  <c r="BM237" i="3" s="1"/>
  <c r="BJ27" i="3"/>
  <c r="BL27" i="3" s="1"/>
  <c r="BM27" i="3" s="1"/>
  <c r="AY27" i="3"/>
  <c r="BJ88" i="3"/>
  <c r="BL88" i="3" s="1"/>
  <c r="BM88" i="3" s="1"/>
  <c r="AY88" i="3"/>
  <c r="BJ100" i="3"/>
  <c r="BL100" i="3" s="1"/>
  <c r="BM100" i="3" s="1"/>
  <c r="AY100" i="3"/>
  <c r="AY245" i="3"/>
  <c r="BJ245" i="3"/>
  <c r="BL245" i="3" s="1"/>
  <c r="BM245" i="3" s="1"/>
  <c r="AT271" i="3"/>
  <c r="AZ271" i="3" s="1"/>
  <c r="J271" i="9" s="1"/>
  <c r="AR271" i="3"/>
  <c r="BH271" i="3" s="1"/>
  <c r="AR258" i="3"/>
  <c r="BH258" i="3" s="1"/>
  <c r="AT258" i="3"/>
  <c r="AZ258" i="3" s="1"/>
  <c r="J258" i="9" s="1"/>
  <c r="AM268" i="3"/>
  <c r="AM275" i="3"/>
  <c r="AR282" i="3"/>
  <c r="AT282" i="3"/>
  <c r="AR214" i="3"/>
  <c r="AT214" i="3"/>
  <c r="AR184" i="3"/>
  <c r="BH184" i="3" s="1"/>
  <c r="AT184" i="3"/>
  <c r="AZ184" i="3" s="1"/>
  <c r="J184" i="9" s="1"/>
  <c r="AR229" i="3"/>
  <c r="AT229" i="3"/>
  <c r="AR134" i="3"/>
  <c r="BH134" i="3" s="1"/>
  <c r="AT134" i="3"/>
  <c r="AZ134" i="3" s="1"/>
  <c r="J134" i="9" s="1"/>
  <c r="AR201" i="3"/>
  <c r="BH201" i="3" s="1"/>
  <c r="AT201" i="3"/>
  <c r="AZ201" i="3" s="1"/>
  <c r="J201" i="9" s="1"/>
  <c r="AR71" i="3"/>
  <c r="AT71" i="3"/>
  <c r="AR67" i="3"/>
  <c r="BH67" i="3" s="1"/>
  <c r="AT67" i="3"/>
  <c r="AZ67" i="3" s="1"/>
  <c r="J67" i="9" s="1"/>
  <c r="AR8" i="3"/>
  <c r="AT8" i="3"/>
  <c r="AR50" i="3"/>
  <c r="BH50" i="3" s="1"/>
  <c r="AT50" i="3"/>
  <c r="AR155" i="3"/>
  <c r="BH155" i="3" s="1"/>
  <c r="AT155" i="3"/>
  <c r="AZ155" i="3" s="1"/>
  <c r="J155" i="9" s="1"/>
  <c r="AR24" i="3"/>
  <c r="BH24" i="3" s="1"/>
  <c r="AT24" i="3"/>
  <c r="AR40" i="3"/>
  <c r="BH40" i="3" s="1"/>
  <c r="AT40" i="3"/>
  <c r="AZ40" i="3" s="1"/>
  <c r="J40" i="9" s="1"/>
  <c r="AR217" i="3"/>
  <c r="BH217" i="3" s="1"/>
  <c r="AT217" i="3"/>
  <c r="AZ217" i="3" s="1"/>
  <c r="J217" i="9" s="1"/>
  <c r="AR218" i="3"/>
  <c r="BH218" i="3" s="1"/>
  <c r="AT218" i="3"/>
  <c r="AZ218" i="3" s="1"/>
  <c r="J218" i="9" s="1"/>
  <c r="AR227" i="3"/>
  <c r="AT227" i="3"/>
  <c r="AR209" i="3"/>
  <c r="BH209" i="3" s="1"/>
  <c r="AT209" i="3"/>
  <c r="AZ209" i="3" s="1"/>
  <c r="J209" i="9" s="1"/>
  <c r="AR197" i="3"/>
  <c r="AT197" i="3"/>
  <c r="AR187" i="3"/>
  <c r="AT187" i="3"/>
  <c r="AR262" i="3"/>
  <c r="BH262" i="3" s="1"/>
  <c r="AT262" i="3"/>
  <c r="AZ262" i="3" s="1"/>
  <c r="J262" i="9" s="1"/>
  <c r="AR151" i="3"/>
  <c r="BH151" i="3" s="1"/>
  <c r="AT151" i="3"/>
  <c r="AZ151" i="3" s="1"/>
  <c r="J151" i="9" s="1"/>
  <c r="AR254" i="3"/>
  <c r="AT254" i="3"/>
  <c r="AR145" i="3"/>
  <c r="AT145" i="3"/>
  <c r="AR49" i="3"/>
  <c r="BH49" i="3" s="1"/>
  <c r="AT49" i="3"/>
  <c r="AZ49" i="3" s="1"/>
  <c r="J49" i="9" s="1"/>
  <c r="AR232" i="3"/>
  <c r="BH232" i="3" s="1"/>
  <c r="AT232" i="3"/>
  <c r="AZ232" i="3" s="1"/>
  <c r="J232" i="9" s="1"/>
  <c r="AR44" i="3"/>
  <c r="BH44" i="3" s="1"/>
  <c r="AT44" i="3"/>
  <c r="AZ44" i="3" s="1"/>
  <c r="J44" i="9" s="1"/>
  <c r="AR57" i="3"/>
  <c r="BH57" i="3" s="1"/>
  <c r="AT57" i="3"/>
  <c r="AZ57" i="3" s="1"/>
  <c r="J57" i="9" s="1"/>
  <c r="AR160" i="3"/>
  <c r="BH160" i="3" s="1"/>
  <c r="AT160" i="3"/>
  <c r="AZ160" i="3" s="1"/>
  <c r="J160" i="9" s="1"/>
  <c r="AR202" i="3"/>
  <c r="BH202" i="3" s="1"/>
  <c r="AT202" i="3"/>
  <c r="AZ202" i="3" s="1"/>
  <c r="J202" i="9" s="1"/>
  <c r="AR128" i="3"/>
  <c r="BH128" i="3" s="1"/>
  <c r="AT128" i="3"/>
  <c r="AZ128" i="3" s="1"/>
  <c r="J128" i="9" s="1"/>
  <c r="AR196" i="3"/>
  <c r="BH196" i="3" s="1"/>
  <c r="AT196" i="3"/>
  <c r="AR170" i="3"/>
  <c r="AT170" i="3"/>
  <c r="AR256" i="3"/>
  <c r="BH256" i="3" s="1"/>
  <c r="AT256" i="3"/>
  <c r="AZ256" i="3" s="1"/>
  <c r="J256" i="9" s="1"/>
  <c r="AR248" i="3"/>
  <c r="AT248" i="3"/>
  <c r="AR169" i="3"/>
  <c r="BH169" i="3" s="1"/>
  <c r="AT169" i="3"/>
  <c r="AZ169" i="3" s="1"/>
  <c r="J169" i="9" s="1"/>
  <c r="AR45" i="3"/>
  <c r="AT45" i="3"/>
  <c r="AR156" i="3"/>
  <c r="BH156" i="3" s="1"/>
  <c r="AT156" i="3"/>
  <c r="AZ156" i="3" s="1"/>
  <c r="J156" i="9" s="1"/>
  <c r="AR38" i="3"/>
  <c r="BH38" i="3" s="1"/>
  <c r="AT38" i="3"/>
  <c r="AZ38" i="3" s="1"/>
  <c r="J38" i="9" s="1"/>
  <c r="AR132" i="3"/>
  <c r="BH132" i="3" s="1"/>
  <c r="AT132" i="3"/>
  <c r="AZ132" i="3" s="1"/>
  <c r="J132" i="9" s="1"/>
  <c r="AR207" i="3"/>
  <c r="BH207" i="3" s="1"/>
  <c r="AT207" i="3"/>
  <c r="AR205" i="3"/>
  <c r="BH205" i="3" s="1"/>
  <c r="AT205" i="3"/>
  <c r="AZ205" i="3" s="1"/>
  <c r="J205" i="9" s="1"/>
  <c r="AR211" i="3"/>
  <c r="BH211" i="3" s="1"/>
  <c r="AT211" i="3"/>
  <c r="AR195" i="3"/>
  <c r="BH195" i="3" s="1"/>
  <c r="AT195" i="3"/>
  <c r="AZ195" i="3" s="1"/>
  <c r="J195" i="9" s="1"/>
  <c r="AR200" i="3"/>
  <c r="AT200" i="3"/>
  <c r="AR261" i="3"/>
  <c r="BH261" i="3" s="1"/>
  <c r="AT261" i="3"/>
  <c r="AZ261" i="3" s="1"/>
  <c r="J261" i="9" s="1"/>
  <c r="AR61" i="3"/>
  <c r="BH61" i="3" s="1"/>
  <c r="AT61" i="3"/>
  <c r="AZ61" i="3" s="1"/>
  <c r="J61" i="9" s="1"/>
  <c r="AR141" i="3"/>
  <c r="BH141" i="3" s="1"/>
  <c r="AT141" i="3"/>
  <c r="AZ141" i="3" s="1"/>
  <c r="J141" i="9" s="1"/>
  <c r="AR55" i="3"/>
  <c r="BH55" i="3" s="1"/>
  <c r="AT55" i="3"/>
  <c r="AZ55" i="3" s="1"/>
  <c r="J55" i="9" s="1"/>
  <c r="AR257" i="3"/>
  <c r="BH257" i="3" s="1"/>
  <c r="AT257" i="3"/>
  <c r="AZ257" i="3" s="1"/>
  <c r="J257" i="9" s="1"/>
  <c r="AR86" i="3"/>
  <c r="BH86" i="3" s="1"/>
  <c r="AT86" i="3"/>
  <c r="AZ86" i="3" s="1"/>
  <c r="J86" i="9" s="1"/>
  <c r="AR121" i="3"/>
  <c r="BH121" i="3" s="1"/>
  <c r="AT121" i="3"/>
  <c r="AZ121" i="3" s="1"/>
  <c r="J121" i="9" s="1"/>
  <c r="AR95" i="3"/>
  <c r="BH95" i="3" s="1"/>
  <c r="AT95" i="3"/>
  <c r="AZ95" i="3" s="1"/>
  <c r="J95" i="9" s="1"/>
  <c r="AR19" i="3"/>
  <c r="BH19" i="3" s="1"/>
  <c r="AT19" i="3"/>
  <c r="AZ19" i="3" s="1"/>
  <c r="J19" i="9" s="1"/>
  <c r="AR166" i="3"/>
  <c r="BH166" i="3" s="1"/>
  <c r="AT166" i="3"/>
  <c r="AZ166" i="3" s="1"/>
  <c r="J166" i="9" s="1"/>
  <c r="AR185" i="3"/>
  <c r="BH185" i="3" s="1"/>
  <c r="AT185" i="3"/>
  <c r="AR215" i="3"/>
  <c r="AT215" i="3"/>
  <c r="AR233" i="3"/>
  <c r="AT233" i="3"/>
  <c r="AR136" i="3"/>
  <c r="BH136" i="3" s="1"/>
  <c r="AT136" i="3"/>
  <c r="AZ136" i="3" s="1"/>
  <c r="J136" i="9" s="1"/>
  <c r="AR225" i="3"/>
  <c r="AT225" i="3"/>
  <c r="AR213" i="3"/>
  <c r="BH213" i="3" s="1"/>
  <c r="AT213" i="3"/>
  <c r="AZ213" i="3" s="1"/>
  <c r="J213" i="9" s="1"/>
  <c r="AR164" i="3"/>
  <c r="BH164" i="3" s="1"/>
  <c r="AT164" i="3"/>
  <c r="AZ164" i="3" s="1"/>
  <c r="J164" i="9" s="1"/>
  <c r="AR192" i="3"/>
  <c r="BH192" i="3" s="1"/>
  <c r="AT192" i="3"/>
  <c r="AZ192" i="3" s="1"/>
  <c r="J192" i="9" s="1"/>
  <c r="AR204" i="3"/>
  <c r="BH204" i="3" s="1"/>
  <c r="AT204" i="3"/>
  <c r="AR212" i="3"/>
  <c r="BH212" i="3" s="1"/>
  <c r="AT212" i="3"/>
  <c r="AZ212" i="3" s="1"/>
  <c r="J212" i="9" s="1"/>
  <c r="AR179" i="3"/>
  <c r="BH179" i="3" s="1"/>
  <c r="AT179" i="3"/>
  <c r="AZ179" i="3" s="1"/>
  <c r="J179" i="9" s="1"/>
  <c r="AR181" i="3"/>
  <c r="AT181" i="3"/>
  <c r="AR191" i="3"/>
  <c r="BH191" i="3" s="1"/>
  <c r="AT191" i="3"/>
  <c r="AZ191" i="3" s="1"/>
  <c r="J191" i="9" s="1"/>
  <c r="AR43" i="3"/>
  <c r="BH43" i="3" s="1"/>
  <c r="AT43" i="3"/>
  <c r="AZ43" i="3" s="1"/>
  <c r="J43" i="9" s="1"/>
  <c r="AR158" i="3"/>
  <c r="BH158" i="3" s="1"/>
  <c r="AT158" i="3"/>
  <c r="AZ158" i="3" s="1"/>
  <c r="J158" i="9" s="1"/>
  <c r="AR59" i="3"/>
  <c r="BH59" i="3" s="1"/>
  <c r="AT59" i="3"/>
  <c r="AZ59" i="3" s="1"/>
  <c r="J59" i="9" s="1"/>
  <c r="AR48" i="3"/>
  <c r="AT48" i="3"/>
  <c r="AR144" i="3"/>
  <c r="BH144" i="3" s="1"/>
  <c r="AT144" i="3"/>
  <c r="AZ144" i="3" s="1"/>
  <c r="J144" i="9" s="1"/>
  <c r="AR41" i="3"/>
  <c r="AT41" i="3"/>
  <c r="AR146" i="3"/>
  <c r="BH146" i="3" s="1"/>
  <c r="AT146" i="3"/>
  <c r="AZ146" i="3" s="1"/>
  <c r="J146" i="9" s="1"/>
  <c r="AR125" i="3"/>
  <c r="BH125" i="3" s="1"/>
  <c r="AT125" i="3"/>
  <c r="AZ125" i="3" s="1"/>
  <c r="J125" i="9" s="1"/>
  <c r="AR138" i="3"/>
  <c r="BH138" i="3" s="1"/>
  <c r="AT138" i="3"/>
  <c r="AZ138" i="3" s="1"/>
  <c r="J138" i="9" s="1"/>
  <c r="AR172" i="3"/>
  <c r="AT172" i="3"/>
  <c r="AR244" i="3"/>
  <c r="BH244" i="3" s="1"/>
  <c r="AT244" i="3"/>
  <c r="AR220" i="3"/>
  <c r="BH220" i="3" s="1"/>
  <c r="AT220" i="3"/>
  <c r="AZ220" i="3" s="1"/>
  <c r="J220" i="9" s="1"/>
  <c r="AR193" i="3"/>
  <c r="BH193" i="3" s="1"/>
  <c r="AT193" i="3"/>
  <c r="AZ193" i="3" s="1"/>
  <c r="J193" i="9" s="1"/>
  <c r="AR234" i="3"/>
  <c r="BH234" i="3" s="1"/>
  <c r="AT234" i="3"/>
  <c r="AZ234" i="3" s="1"/>
  <c r="J234" i="9" s="1"/>
  <c r="AR171" i="3"/>
  <c r="BH171" i="3" s="1"/>
  <c r="AT171" i="3"/>
  <c r="AZ171" i="3" s="1"/>
  <c r="J171" i="9" s="1"/>
  <c r="AR252" i="3"/>
  <c r="AT252" i="3"/>
  <c r="AR210" i="3"/>
  <c r="AT210" i="3"/>
  <c r="AR39" i="3"/>
  <c r="BH39" i="3" s="1"/>
  <c r="AT39" i="3"/>
  <c r="AZ39" i="3" s="1"/>
  <c r="J39" i="9" s="1"/>
  <c r="AR46" i="3"/>
  <c r="BH46" i="3" s="1"/>
  <c r="AT46" i="3"/>
  <c r="AZ46" i="3" s="1"/>
  <c r="J46" i="9" s="1"/>
  <c r="AR162" i="3"/>
  <c r="BH162" i="3" s="1"/>
  <c r="AT162" i="3"/>
  <c r="AZ162" i="3" s="1"/>
  <c r="J162" i="9" s="1"/>
  <c r="AR159" i="3"/>
  <c r="BH159" i="3" s="1"/>
  <c r="AT159" i="3"/>
  <c r="AZ159" i="3" s="1"/>
  <c r="J159" i="9" s="1"/>
  <c r="AR149" i="3"/>
  <c r="BH149" i="3" s="1"/>
  <c r="AT149" i="3"/>
  <c r="AZ149" i="3" s="1"/>
  <c r="J149" i="9" s="1"/>
  <c r="AR62" i="3"/>
  <c r="BH62" i="3" s="1"/>
  <c r="AT62" i="3"/>
  <c r="AZ62" i="3" s="1"/>
  <c r="J62" i="9" s="1"/>
  <c r="AR37" i="3"/>
  <c r="BH37" i="3" s="1"/>
  <c r="AT37" i="3"/>
  <c r="AZ37" i="3" s="1"/>
  <c r="J37" i="9" s="1"/>
  <c r="AR56" i="3"/>
  <c r="BH56" i="3" s="1"/>
  <c r="AT56" i="3"/>
  <c r="AZ56" i="3" s="1"/>
  <c r="J56" i="9" s="1"/>
  <c r="AR153" i="3"/>
  <c r="BH153" i="3" s="1"/>
  <c r="AT153" i="3"/>
  <c r="AZ153" i="3" s="1"/>
  <c r="J153" i="9" s="1"/>
  <c r="AR161" i="3"/>
  <c r="BH161" i="3" s="1"/>
  <c r="AT161" i="3"/>
  <c r="AR150" i="3"/>
  <c r="BH150" i="3" s="1"/>
  <c r="AT150" i="3"/>
  <c r="AZ150" i="3" s="1"/>
  <c r="J150" i="9" s="1"/>
  <c r="AR105" i="3"/>
  <c r="BH105" i="3" s="1"/>
  <c r="AT105" i="3"/>
  <c r="AZ105" i="3" s="1"/>
  <c r="J105" i="9" s="1"/>
  <c r="AR99" i="3"/>
  <c r="BH99" i="3" s="1"/>
  <c r="AT99" i="3"/>
  <c r="AR103" i="3"/>
  <c r="BH103" i="3" s="1"/>
  <c r="AT103" i="3"/>
  <c r="AZ103" i="3" s="1"/>
  <c r="J103" i="9" s="1"/>
  <c r="AR226" i="3"/>
  <c r="AT226" i="3"/>
  <c r="AR174" i="3"/>
  <c r="BH174" i="3" s="1"/>
  <c r="AR22" i="3"/>
  <c r="BH22" i="3" s="1"/>
  <c r="AR276" i="3"/>
  <c r="BH276" i="3" s="1"/>
  <c r="AR203" i="3"/>
  <c r="BH203" i="3" s="1"/>
  <c r="AR238" i="3"/>
  <c r="AR117" i="3"/>
  <c r="AR106" i="3"/>
  <c r="BH106" i="3" s="1"/>
  <c r="AR265" i="3"/>
  <c r="BH265" i="3" s="1"/>
  <c r="AR286" i="3"/>
  <c r="AR133" i="3"/>
  <c r="BH133" i="3" s="1"/>
  <c r="AM58" i="3"/>
  <c r="AT58" i="3" s="1"/>
  <c r="AZ58" i="3" s="1"/>
  <c r="J58" i="9" s="1"/>
  <c r="AM143" i="3"/>
  <c r="AT143" i="3" s="1"/>
  <c r="AM178" i="3"/>
  <c r="AM54" i="3"/>
  <c r="AT54" i="3" s="1"/>
  <c r="AZ54" i="3" s="1"/>
  <c r="J54" i="9" s="1"/>
  <c r="AM249" i="3"/>
  <c r="AM9" i="3"/>
  <c r="AY135" i="3" l="1"/>
  <c r="J29" i="9"/>
  <c r="AZ289" i="3"/>
  <c r="J289" i="9" s="1"/>
  <c r="AY139" i="3"/>
  <c r="J139" i="9"/>
  <c r="BB139" i="3"/>
  <c r="BG139" i="3" s="1"/>
  <c r="J130" i="9"/>
  <c r="BB130" i="3"/>
  <c r="BG130" i="3" s="1"/>
  <c r="AY130" i="3"/>
  <c r="BH181" i="3"/>
  <c r="BJ181" i="3" s="1"/>
  <c r="BL181" i="3" s="1"/>
  <c r="BM181" i="3" s="1"/>
  <c r="CX181" i="3"/>
  <c r="CY181" i="3" s="1"/>
  <c r="AU181" i="3" s="1"/>
  <c r="AZ181" i="3" s="1"/>
  <c r="J181" i="9" s="1"/>
  <c r="BH286" i="3"/>
  <c r="BJ286" i="3" s="1"/>
  <c r="BL286" i="3" s="1"/>
  <c r="BM286" i="3" s="1"/>
  <c r="CX286" i="3"/>
  <c r="CY286" i="3" s="1"/>
  <c r="AZ286" i="3" s="1"/>
  <c r="BH200" i="3"/>
  <c r="BJ200" i="3" s="1"/>
  <c r="BL200" i="3" s="1"/>
  <c r="BM200" i="3" s="1"/>
  <c r="CX200" i="3"/>
  <c r="CY200" i="3" s="1"/>
  <c r="AU200" i="3" s="1"/>
  <c r="AZ200" i="3" s="1"/>
  <c r="BH229" i="3"/>
  <c r="BJ229" i="3" s="1"/>
  <c r="BL229" i="3" s="1"/>
  <c r="BM229" i="3" s="1"/>
  <c r="CX229" i="3"/>
  <c r="CY229" i="3" s="1"/>
  <c r="AU229" i="3" s="1"/>
  <c r="AZ229" i="3" s="1"/>
  <c r="J229" i="9" s="1"/>
  <c r="BH190" i="3"/>
  <c r="BJ190" i="3" s="1"/>
  <c r="BL190" i="3" s="1"/>
  <c r="BM190" i="3" s="1"/>
  <c r="CX190" i="3"/>
  <c r="CY190" i="3" s="1"/>
  <c r="AU190" i="3" s="1"/>
  <c r="AZ190" i="3" s="1"/>
  <c r="BH142" i="3"/>
  <c r="BJ142" i="3" s="1"/>
  <c r="BL142" i="3" s="1"/>
  <c r="BM142" i="3" s="1"/>
  <c r="CX142" i="3"/>
  <c r="CY142" i="3" s="1"/>
  <c r="AU142" i="3" s="1"/>
  <c r="AZ142" i="3" s="1"/>
  <c r="BH75" i="3"/>
  <c r="BJ75" i="3" s="1"/>
  <c r="BL75" i="3" s="1"/>
  <c r="BM75" i="3" s="1"/>
  <c r="CX75" i="3"/>
  <c r="CY75" i="3" s="1"/>
  <c r="AU75" i="3" s="1"/>
  <c r="AY75" i="3" s="1"/>
  <c r="BH30" i="3"/>
  <c r="BJ30" i="3" s="1"/>
  <c r="BL30" i="3" s="1"/>
  <c r="BM30" i="3" s="1"/>
  <c r="CX30" i="3"/>
  <c r="CY30" i="3" s="1"/>
  <c r="AU30" i="3" s="1"/>
  <c r="AZ30" i="3" s="1"/>
  <c r="BH194" i="3"/>
  <c r="BJ194" i="3" s="1"/>
  <c r="BL194" i="3" s="1"/>
  <c r="BM194" i="3" s="1"/>
  <c r="CX194" i="3"/>
  <c r="CY194" i="3" s="1"/>
  <c r="AU194" i="3" s="1"/>
  <c r="AY194" i="3" s="1"/>
  <c r="BH48" i="3"/>
  <c r="BJ48" i="3" s="1"/>
  <c r="BL48" i="3" s="1"/>
  <c r="BM48" i="3" s="1"/>
  <c r="CX48" i="3"/>
  <c r="CY48" i="3" s="1"/>
  <c r="AU48" i="3" s="1"/>
  <c r="AZ48" i="3" s="1"/>
  <c r="BH186" i="3"/>
  <c r="BJ186" i="3" s="1"/>
  <c r="BL186" i="3" s="1"/>
  <c r="BM186" i="3" s="1"/>
  <c r="CX186" i="3"/>
  <c r="CY186" i="3" s="1"/>
  <c r="AU186" i="3" s="1"/>
  <c r="AZ186" i="3" s="1"/>
  <c r="BH180" i="3"/>
  <c r="BJ180" i="3" s="1"/>
  <c r="BL180" i="3" s="1"/>
  <c r="BM180" i="3" s="1"/>
  <c r="CX180" i="3"/>
  <c r="CY180" i="3" s="1"/>
  <c r="AU180" i="3" s="1"/>
  <c r="AY180" i="3" s="1"/>
  <c r="BB135" i="3"/>
  <c r="BG135" i="3" s="1"/>
  <c r="BH233" i="3"/>
  <c r="BJ233" i="3" s="1"/>
  <c r="BL233" i="3" s="1"/>
  <c r="BM233" i="3" s="1"/>
  <c r="CX233" i="3"/>
  <c r="CY233" i="3" s="1"/>
  <c r="AU233" i="3" s="1"/>
  <c r="AZ233" i="3" s="1"/>
  <c r="J233" i="9" s="1"/>
  <c r="BH45" i="3"/>
  <c r="BJ45" i="3" s="1"/>
  <c r="BL45" i="3" s="1"/>
  <c r="BM45" i="3" s="1"/>
  <c r="CX45" i="3"/>
  <c r="CY45" i="3" s="1"/>
  <c r="AU45" i="3" s="1"/>
  <c r="AZ45" i="3" s="1"/>
  <c r="AV225" i="3"/>
  <c r="BB6" i="3"/>
  <c r="BG6" i="3" s="1"/>
  <c r="BB153" i="3"/>
  <c r="BG153" i="3" s="1"/>
  <c r="BB179" i="3"/>
  <c r="BG179" i="3" s="1"/>
  <c r="BB257" i="3"/>
  <c r="BG257" i="3" s="1"/>
  <c r="BB256" i="3"/>
  <c r="BG256" i="3" s="1"/>
  <c r="BB159" i="3"/>
  <c r="BG159" i="3" s="1"/>
  <c r="BB138" i="3"/>
  <c r="BG138" i="3" s="1"/>
  <c r="BB212" i="3"/>
  <c r="BG212" i="3" s="1"/>
  <c r="BB262" i="3"/>
  <c r="BG262" i="3" s="1"/>
  <c r="BB67" i="3"/>
  <c r="BG67" i="3" s="1"/>
  <c r="BB37" i="3"/>
  <c r="BG37" i="3" s="1"/>
  <c r="BB125" i="3"/>
  <c r="BG125" i="3" s="1"/>
  <c r="BB191" i="3"/>
  <c r="BG191" i="3" s="1"/>
  <c r="BB141" i="3"/>
  <c r="BG141" i="3" s="1"/>
  <c r="BB132" i="3"/>
  <c r="BG132" i="3" s="1"/>
  <c r="BB155" i="3"/>
  <c r="BG155" i="3" s="1"/>
  <c r="BB184" i="3"/>
  <c r="BG184" i="3" s="1"/>
  <c r="BB216" i="3"/>
  <c r="BG216" i="3" s="1"/>
  <c r="BB70" i="3"/>
  <c r="BG70" i="3" s="1"/>
  <c r="BB33" i="3"/>
  <c r="BG33" i="3" s="1"/>
  <c r="BB235" i="3"/>
  <c r="BG235" i="3" s="1"/>
  <c r="BB114" i="3"/>
  <c r="BG114" i="3" s="1"/>
  <c r="BB110" i="3"/>
  <c r="BG110" i="3" s="1"/>
  <c r="BB91" i="3"/>
  <c r="BG91" i="3" s="1"/>
  <c r="BB12" i="3"/>
  <c r="BG12" i="3" s="1"/>
  <c r="BB92" i="3"/>
  <c r="BG92" i="3" s="1"/>
  <c r="BB149" i="3"/>
  <c r="BG149" i="3" s="1"/>
  <c r="BB261" i="3"/>
  <c r="BG261" i="3" s="1"/>
  <c r="BB202" i="3"/>
  <c r="BG202" i="3" s="1"/>
  <c r="BB209" i="3"/>
  <c r="BG209" i="3" s="1"/>
  <c r="BB105" i="3"/>
  <c r="BG105" i="3" s="1"/>
  <c r="BB144" i="3"/>
  <c r="BG144" i="3" s="1"/>
  <c r="BB213" i="3"/>
  <c r="BG213" i="3" s="1"/>
  <c r="BB55" i="3"/>
  <c r="BG55" i="3" s="1"/>
  <c r="BB160" i="3"/>
  <c r="BG160" i="3" s="1"/>
  <c r="BB231" i="3"/>
  <c r="BG231" i="3" s="1"/>
  <c r="BB150" i="3"/>
  <c r="BG150" i="3" s="1"/>
  <c r="BB162" i="3"/>
  <c r="BG162" i="3" s="1"/>
  <c r="BB220" i="3"/>
  <c r="BG220" i="3" s="1"/>
  <c r="BB121" i="3"/>
  <c r="BG121" i="3" s="1"/>
  <c r="BB195" i="3"/>
  <c r="BG195" i="3" s="1"/>
  <c r="BB169" i="3"/>
  <c r="BG169" i="3" s="1"/>
  <c r="BB57" i="3"/>
  <c r="BG57" i="3" s="1"/>
  <c r="BB218" i="3"/>
  <c r="BG218" i="3" s="1"/>
  <c r="BB258" i="3"/>
  <c r="BG258" i="3" s="1"/>
  <c r="BB189" i="3"/>
  <c r="BG189" i="3" s="1"/>
  <c r="BB152" i="3"/>
  <c r="BG152" i="3" s="1"/>
  <c r="BB219" i="3"/>
  <c r="BG219" i="3" s="1"/>
  <c r="BB98" i="3"/>
  <c r="BG98" i="3" s="1"/>
  <c r="BB236" i="3"/>
  <c r="BG236" i="3" s="1"/>
  <c r="BB54" i="3"/>
  <c r="BG54" i="3" s="1"/>
  <c r="BB103" i="3"/>
  <c r="BG103" i="3" s="1"/>
  <c r="BB62" i="3"/>
  <c r="BG62" i="3" s="1"/>
  <c r="BB46" i="3"/>
  <c r="BG46" i="3" s="1"/>
  <c r="BB171" i="3"/>
  <c r="BG171" i="3" s="1"/>
  <c r="BB146" i="3"/>
  <c r="BG146" i="3" s="1"/>
  <c r="BB59" i="3"/>
  <c r="BG59" i="3" s="1"/>
  <c r="BB192" i="3"/>
  <c r="BG192" i="3" s="1"/>
  <c r="BB136" i="3"/>
  <c r="BG136" i="3" s="1"/>
  <c r="BB166" i="3"/>
  <c r="BG166" i="3" s="1"/>
  <c r="BB86" i="3"/>
  <c r="BG86" i="3" s="1"/>
  <c r="BB61" i="3"/>
  <c r="BG61" i="3" s="1"/>
  <c r="BB38" i="3"/>
  <c r="BG38" i="3" s="1"/>
  <c r="BB128" i="3"/>
  <c r="BG128" i="3" s="1"/>
  <c r="BB44" i="3"/>
  <c r="BG44" i="3" s="1"/>
  <c r="BB217" i="3"/>
  <c r="BG217" i="3" s="1"/>
  <c r="BB201" i="3"/>
  <c r="BG201" i="3" s="1"/>
  <c r="BB25" i="3"/>
  <c r="BG25" i="3" s="1"/>
  <c r="BB47" i="3"/>
  <c r="BG47" i="3" s="1"/>
  <c r="BB173" i="3"/>
  <c r="BG173" i="3" s="1"/>
  <c r="BB60" i="3"/>
  <c r="BG60" i="3" s="1"/>
  <c r="BB7" i="3"/>
  <c r="BG7" i="3" s="1"/>
  <c r="BB188" i="3"/>
  <c r="BG188" i="3" s="1"/>
  <c r="BB80" i="3"/>
  <c r="BG80" i="3" s="1"/>
  <c r="BB280" i="3"/>
  <c r="BG280" i="3" s="1"/>
  <c r="BB65" i="3"/>
  <c r="BG65" i="3" s="1"/>
  <c r="BB271" i="3"/>
  <c r="BG271" i="3" s="1"/>
  <c r="BB234" i="3"/>
  <c r="BG234" i="3" s="1"/>
  <c r="BB164" i="3"/>
  <c r="BG164" i="3" s="1"/>
  <c r="BB205" i="3"/>
  <c r="BG205" i="3" s="1"/>
  <c r="BB232" i="3"/>
  <c r="BG232" i="3" s="1"/>
  <c r="BB40" i="3"/>
  <c r="BG40" i="3" s="1"/>
  <c r="BB134" i="3"/>
  <c r="BG134" i="3" s="1"/>
  <c r="BB72" i="3"/>
  <c r="BG72" i="3" s="1"/>
  <c r="BB148" i="3"/>
  <c r="BG148" i="3" s="1"/>
  <c r="BB63" i="3"/>
  <c r="BG63" i="3" s="1"/>
  <c r="BB66" i="3"/>
  <c r="BG66" i="3" s="1"/>
  <c r="BB206" i="3"/>
  <c r="BG206" i="3" s="1"/>
  <c r="BB64" i="3"/>
  <c r="BG64" i="3" s="1"/>
  <c r="BB53" i="3"/>
  <c r="BG53" i="3" s="1"/>
  <c r="BB182" i="3"/>
  <c r="BG182" i="3" s="1"/>
  <c r="BB168" i="3"/>
  <c r="BG168" i="3" s="1"/>
  <c r="BB255" i="3"/>
  <c r="BG255" i="3" s="1"/>
  <c r="BB228" i="3"/>
  <c r="BG228" i="3" s="1"/>
  <c r="BB58" i="3"/>
  <c r="BG58" i="3" s="1"/>
  <c r="BB118" i="3"/>
  <c r="BG118" i="3" s="1"/>
  <c r="BB115" i="3"/>
  <c r="BG115" i="3" s="1"/>
  <c r="BB122" i="3"/>
  <c r="BG122" i="3" s="1"/>
  <c r="BB39" i="3"/>
  <c r="BG39" i="3" s="1"/>
  <c r="BB158" i="3"/>
  <c r="BG158" i="3" s="1"/>
  <c r="BB19" i="3"/>
  <c r="BG19" i="3" s="1"/>
  <c r="BB156" i="3"/>
  <c r="BG156" i="3" s="1"/>
  <c r="BB151" i="3"/>
  <c r="BG151" i="3" s="1"/>
  <c r="BB56" i="3"/>
  <c r="BG56" i="3" s="1"/>
  <c r="BB193" i="3"/>
  <c r="BG193" i="3" s="1"/>
  <c r="BB43" i="3"/>
  <c r="BG43" i="3" s="1"/>
  <c r="BB95" i="3"/>
  <c r="BG95" i="3" s="1"/>
  <c r="BB49" i="3"/>
  <c r="BG49" i="3" s="1"/>
  <c r="BB198" i="3"/>
  <c r="BG198" i="3" s="1"/>
  <c r="BB221" i="3"/>
  <c r="BG221" i="3" s="1"/>
  <c r="BB176" i="3"/>
  <c r="BG176" i="3" s="1"/>
  <c r="BB89" i="3"/>
  <c r="BG89" i="3" s="1"/>
  <c r="BB23" i="3"/>
  <c r="BG23" i="3" s="1"/>
  <c r="BB167" i="3"/>
  <c r="BG167" i="3" s="1"/>
  <c r="BB240" i="3"/>
  <c r="BG240" i="3" s="1"/>
  <c r="BB277" i="3"/>
  <c r="BG277" i="3" s="1"/>
  <c r="BB79" i="3"/>
  <c r="BG79" i="3" s="1"/>
  <c r="BB129" i="3"/>
  <c r="BG129" i="3" s="1"/>
  <c r="BB77" i="3"/>
  <c r="BG77" i="3" s="1"/>
  <c r="BB109" i="3"/>
  <c r="BG109" i="3" s="1"/>
  <c r="BB52" i="3"/>
  <c r="BG52" i="3" s="1"/>
  <c r="BB108" i="3"/>
  <c r="BG108" i="3" s="1"/>
  <c r="BB116" i="3"/>
  <c r="BG116" i="3" s="1"/>
  <c r="AY77" i="3"/>
  <c r="AY114" i="3"/>
  <c r="AZ126" i="3"/>
  <c r="J126" i="9" s="1"/>
  <c r="BH214" i="3"/>
  <c r="BJ214" i="3" s="1"/>
  <c r="BL214" i="3" s="1"/>
  <c r="BM214" i="3" s="1"/>
  <c r="CX214" i="3"/>
  <c r="CY214" i="3" s="1"/>
  <c r="AU214" i="3" s="1"/>
  <c r="BH172" i="3"/>
  <c r="BJ172" i="3" s="1"/>
  <c r="BL172" i="3" s="1"/>
  <c r="BM172" i="3" s="1"/>
  <c r="CX172" i="3"/>
  <c r="CY172" i="3" s="1"/>
  <c r="AU172" i="3" s="1"/>
  <c r="AY172" i="3" s="1"/>
  <c r="BH282" i="3"/>
  <c r="BJ282" i="3" s="1"/>
  <c r="BL282" i="3" s="1"/>
  <c r="BM282" i="3" s="1"/>
  <c r="CX282" i="3"/>
  <c r="CY282" i="3" s="1"/>
  <c r="AU282" i="3" s="1"/>
  <c r="AZ282" i="3" s="1"/>
  <c r="J282" i="9" s="1"/>
  <c r="BH242" i="3"/>
  <c r="BJ242" i="3" s="1"/>
  <c r="BL242" i="3" s="1"/>
  <c r="BM242" i="3" s="1"/>
  <c r="CX242" i="3"/>
  <c r="CY242" i="3" s="1"/>
  <c r="AU242" i="3" s="1"/>
  <c r="AY242" i="3" s="1"/>
  <c r="BH26" i="3"/>
  <c r="BJ26" i="3" s="1"/>
  <c r="BL26" i="3" s="1"/>
  <c r="BM26" i="3" s="1"/>
  <c r="CX26" i="3"/>
  <c r="CY26" i="3" s="1"/>
  <c r="AU26" i="3" s="1"/>
  <c r="AZ26" i="3" s="1"/>
  <c r="J26" i="9" s="1"/>
  <c r="BH117" i="3"/>
  <c r="BJ117" i="3" s="1"/>
  <c r="BL117" i="3" s="1"/>
  <c r="BM117" i="3" s="1"/>
  <c r="CX117" i="3"/>
  <c r="CY117" i="3" s="1"/>
  <c r="AU117" i="3" s="1"/>
  <c r="AZ117" i="3" s="1"/>
  <c r="J117" i="9" s="1"/>
  <c r="BH147" i="3"/>
  <c r="BJ147" i="3" s="1"/>
  <c r="BL147" i="3" s="1"/>
  <c r="BM147" i="3" s="1"/>
  <c r="CX147" i="3"/>
  <c r="CY147" i="3" s="1"/>
  <c r="AU147" i="3" s="1"/>
  <c r="AY147" i="3" s="1"/>
  <c r="BH113" i="3"/>
  <c r="BJ113" i="3" s="1"/>
  <c r="BL113" i="3" s="1"/>
  <c r="BM113" i="3" s="1"/>
  <c r="CX113" i="3"/>
  <c r="CY113" i="3" s="1"/>
  <c r="AU113" i="3" s="1"/>
  <c r="AZ113" i="3" s="1"/>
  <c r="J113" i="9" s="1"/>
  <c r="BH74" i="3"/>
  <c r="BJ74" i="3" s="1"/>
  <c r="BL74" i="3" s="1"/>
  <c r="BM74" i="3" s="1"/>
  <c r="CX74" i="3"/>
  <c r="CY74" i="3" s="1"/>
  <c r="AU74" i="3" s="1"/>
  <c r="AY74" i="3" s="1"/>
  <c r="BH8" i="3"/>
  <c r="BJ8" i="3" s="1"/>
  <c r="BL8" i="3" s="1"/>
  <c r="BM8" i="3" s="1"/>
  <c r="CX8" i="3"/>
  <c r="BH210" i="3"/>
  <c r="BJ210" i="3" s="1"/>
  <c r="BL210" i="3" s="1"/>
  <c r="BM210" i="3" s="1"/>
  <c r="CX210" i="3"/>
  <c r="CY210" i="3" s="1"/>
  <c r="AU210" i="3" s="1"/>
  <c r="AZ210" i="3" s="1"/>
  <c r="J210" i="9" s="1"/>
  <c r="BH215" i="3"/>
  <c r="BJ215" i="3" s="1"/>
  <c r="BL215" i="3" s="1"/>
  <c r="BM215" i="3" s="1"/>
  <c r="CX215" i="3"/>
  <c r="CY215" i="3" s="1"/>
  <c r="AU215" i="3" s="1"/>
  <c r="AY215" i="3" s="1"/>
  <c r="BH170" i="3"/>
  <c r="BJ170" i="3" s="1"/>
  <c r="BL170" i="3" s="1"/>
  <c r="BM170" i="3" s="1"/>
  <c r="CX170" i="3"/>
  <c r="CY170" i="3" s="1"/>
  <c r="AU170" i="3" s="1"/>
  <c r="AY170" i="3" s="1"/>
  <c r="BH227" i="3"/>
  <c r="BJ227" i="3" s="1"/>
  <c r="BL227" i="3" s="1"/>
  <c r="BM227" i="3" s="1"/>
  <c r="CX227" i="3"/>
  <c r="CY227" i="3" s="1"/>
  <c r="AU227" i="3" s="1"/>
  <c r="AY227" i="3" s="1"/>
  <c r="BH238" i="3"/>
  <c r="BJ238" i="3" s="1"/>
  <c r="BL238" i="3" s="1"/>
  <c r="BM238" i="3" s="1"/>
  <c r="CX238" i="3"/>
  <c r="CY238" i="3" s="1"/>
  <c r="AU238" i="3" s="1"/>
  <c r="AZ238" i="3" s="1"/>
  <c r="J238" i="9" s="1"/>
  <c r="BH254" i="3"/>
  <c r="BJ254" i="3" s="1"/>
  <c r="BL254" i="3" s="1"/>
  <c r="BM254" i="3" s="1"/>
  <c r="CX254" i="3"/>
  <c r="CY254" i="3" s="1"/>
  <c r="AY254" i="3" s="1"/>
  <c r="BH154" i="3"/>
  <c r="BJ154" i="3" s="1"/>
  <c r="BL154" i="3" s="1"/>
  <c r="BM154" i="3" s="1"/>
  <c r="CX154" i="3"/>
  <c r="CY154" i="3" s="1"/>
  <c r="AU154" i="3" s="1"/>
  <c r="AY154" i="3" s="1"/>
  <c r="BH101" i="3"/>
  <c r="BJ101" i="3" s="1"/>
  <c r="BL101" i="3" s="1"/>
  <c r="BM101" i="3" s="1"/>
  <c r="CX101" i="3"/>
  <c r="CY101" i="3" s="1"/>
  <c r="AZ101" i="3" s="1"/>
  <c r="J101" i="9" s="1"/>
  <c r="BH78" i="3"/>
  <c r="BJ78" i="3" s="1"/>
  <c r="BL78" i="3" s="1"/>
  <c r="BM78" i="3" s="1"/>
  <c r="CX78" i="3"/>
  <c r="CY78" i="3" s="1"/>
  <c r="AU78" i="3" s="1"/>
  <c r="AY78" i="3" s="1"/>
  <c r="BH223" i="3"/>
  <c r="BJ223" i="3" s="1"/>
  <c r="BL223" i="3" s="1"/>
  <c r="BM223" i="3" s="1"/>
  <c r="CX223" i="3"/>
  <c r="CY223" i="3" s="1"/>
  <c r="AU223" i="3" s="1"/>
  <c r="AZ223" i="3" s="1"/>
  <c r="J223" i="9" s="1"/>
  <c r="BH248" i="3"/>
  <c r="BJ248" i="3" s="1"/>
  <c r="BL248" i="3" s="1"/>
  <c r="BM248" i="3" s="1"/>
  <c r="CX248" i="3"/>
  <c r="CY248" i="3" s="1"/>
  <c r="AZ248" i="3" s="1"/>
  <c r="J248" i="9" s="1"/>
  <c r="BH197" i="3"/>
  <c r="BJ197" i="3" s="1"/>
  <c r="BL197" i="3" s="1"/>
  <c r="BM197" i="3" s="1"/>
  <c r="CX197" i="3"/>
  <c r="CY197" i="3" s="1"/>
  <c r="AU197" i="3" s="1"/>
  <c r="AZ197" i="3" s="1"/>
  <c r="J197" i="9" s="1"/>
  <c r="BH68" i="3"/>
  <c r="BJ68" i="3" s="1"/>
  <c r="BL68" i="3" s="1"/>
  <c r="BM68" i="3" s="1"/>
  <c r="CX68" i="3"/>
  <c r="CY68" i="3" s="1"/>
  <c r="AU68" i="3" s="1"/>
  <c r="AY68" i="3" s="1"/>
  <c r="BH41" i="3"/>
  <c r="BJ41" i="3" s="1"/>
  <c r="BL41" i="3" s="1"/>
  <c r="BM41" i="3" s="1"/>
  <c r="CX41" i="3"/>
  <c r="CY41" i="3" s="1"/>
  <c r="AU41" i="3" s="1"/>
  <c r="AY41" i="3" s="1"/>
  <c r="BH11" i="3"/>
  <c r="BJ11" i="3" s="1"/>
  <c r="BL11" i="3" s="1"/>
  <c r="BM11" i="3" s="1"/>
  <c r="CX11" i="3"/>
  <c r="CY11" i="3" s="1"/>
  <c r="AU11" i="3" s="1"/>
  <c r="AY11" i="3" s="1"/>
  <c r="BH226" i="3"/>
  <c r="BJ226" i="3" s="1"/>
  <c r="BL226" i="3" s="1"/>
  <c r="BM226" i="3" s="1"/>
  <c r="CX226" i="3"/>
  <c r="CY226" i="3" s="1"/>
  <c r="AU226" i="3" s="1"/>
  <c r="AZ226" i="3" s="1"/>
  <c r="J226" i="9" s="1"/>
  <c r="BH252" i="3"/>
  <c r="BJ252" i="3" s="1"/>
  <c r="BL252" i="3" s="1"/>
  <c r="BM252" i="3" s="1"/>
  <c r="CX252" i="3"/>
  <c r="CY252" i="3" s="1"/>
  <c r="AU252" i="3" s="1"/>
  <c r="AY252" i="3" s="1"/>
  <c r="BH225" i="3"/>
  <c r="BJ225" i="3" s="1"/>
  <c r="BL225" i="3" s="1"/>
  <c r="BM225" i="3" s="1"/>
  <c r="CX225" i="3"/>
  <c r="CY225" i="3" s="1"/>
  <c r="AU225" i="3" s="1"/>
  <c r="AZ225" i="3" s="1"/>
  <c r="J225" i="9" s="1"/>
  <c r="BH145" i="3"/>
  <c r="BJ145" i="3" s="1"/>
  <c r="BL145" i="3" s="1"/>
  <c r="BM145" i="3" s="1"/>
  <c r="CX145" i="3"/>
  <c r="CY145" i="3" s="1"/>
  <c r="AU145" i="3" s="1"/>
  <c r="AY145" i="3" s="1"/>
  <c r="BH187" i="3"/>
  <c r="BJ187" i="3" s="1"/>
  <c r="BL187" i="3" s="1"/>
  <c r="BM187" i="3" s="1"/>
  <c r="CX187" i="3"/>
  <c r="CY187" i="3" s="1"/>
  <c r="AU187" i="3" s="1"/>
  <c r="AZ187" i="3" s="1"/>
  <c r="J187" i="9" s="1"/>
  <c r="BH71" i="3"/>
  <c r="BJ71" i="3" s="1"/>
  <c r="BL71" i="3" s="1"/>
  <c r="BM71" i="3" s="1"/>
  <c r="CX71" i="3"/>
  <c r="CY71" i="3" s="1"/>
  <c r="AU71" i="3" s="1"/>
  <c r="AY71" i="3" s="1"/>
  <c r="BH224" i="3"/>
  <c r="BJ224" i="3" s="1"/>
  <c r="BL224" i="3" s="1"/>
  <c r="BM224" i="3" s="1"/>
  <c r="CX224" i="3"/>
  <c r="CY224" i="3" s="1"/>
  <c r="AU224" i="3" s="1"/>
  <c r="AY224" i="3" s="1"/>
  <c r="AZ177" i="3"/>
  <c r="J177" i="9" s="1"/>
  <c r="AY188" i="3"/>
  <c r="AZ140" i="3"/>
  <c r="J140" i="9" s="1"/>
  <c r="AY277" i="3"/>
  <c r="AY236" i="3"/>
  <c r="AY65" i="3"/>
  <c r="AY92" i="3"/>
  <c r="AY129" i="3"/>
  <c r="AZ123" i="3"/>
  <c r="J123" i="9" s="1"/>
  <c r="AY108" i="3"/>
  <c r="AZ131" i="3"/>
  <c r="J131" i="9" s="1"/>
  <c r="AY110" i="3"/>
  <c r="AY168" i="3"/>
  <c r="CY24" i="3"/>
  <c r="AU24" i="3" s="1"/>
  <c r="AY24" i="3" s="1"/>
  <c r="BJ24" i="3"/>
  <c r="BL24" i="3" s="1"/>
  <c r="BM24" i="3" s="1"/>
  <c r="CY265" i="3"/>
  <c r="AU265" i="3" s="1"/>
  <c r="AZ265" i="3" s="1"/>
  <c r="J265" i="9" s="1"/>
  <c r="BJ265" i="3"/>
  <c r="BL265" i="3" s="1"/>
  <c r="BM265" i="3" s="1"/>
  <c r="CY185" i="3"/>
  <c r="AU185" i="3" s="1"/>
  <c r="AZ185" i="3" s="1"/>
  <c r="J185" i="9" s="1"/>
  <c r="BJ185" i="3"/>
  <c r="BL185" i="3" s="1"/>
  <c r="BM185" i="3" s="1"/>
  <c r="CY196" i="3"/>
  <c r="AU196" i="3" s="1"/>
  <c r="AZ196" i="3" s="1"/>
  <c r="J196" i="9" s="1"/>
  <c r="BJ196" i="3"/>
  <c r="BL196" i="3" s="1"/>
  <c r="BM196" i="3" s="1"/>
  <c r="AY79" i="3"/>
  <c r="AY280" i="3"/>
  <c r="AY228" i="3"/>
  <c r="CY165" i="3"/>
  <c r="AU165" i="3" s="1"/>
  <c r="AY165" i="3" s="1"/>
  <c r="BJ165" i="3"/>
  <c r="BL165" i="3" s="1"/>
  <c r="BM165" i="3" s="1"/>
  <c r="CY250" i="3"/>
  <c r="AU250" i="3" s="1"/>
  <c r="AZ250" i="3" s="1"/>
  <c r="J250" i="9" s="1"/>
  <c r="BJ250" i="3"/>
  <c r="BL250" i="3" s="1"/>
  <c r="BM250" i="3" s="1"/>
  <c r="CY107" i="3"/>
  <c r="AU107" i="3" s="1"/>
  <c r="AZ107" i="3" s="1"/>
  <c r="J107" i="9" s="1"/>
  <c r="BJ107" i="3"/>
  <c r="BL107" i="3" s="1"/>
  <c r="BM107" i="3" s="1"/>
  <c r="AZ264" i="3"/>
  <c r="J264" i="9" s="1"/>
  <c r="AZ251" i="3"/>
  <c r="J251" i="9" s="1"/>
  <c r="CY207" i="3"/>
  <c r="AU207" i="3" s="1"/>
  <c r="AY207" i="3" s="1"/>
  <c r="BJ207" i="3"/>
  <c r="BL207" i="3" s="1"/>
  <c r="BM207" i="3" s="1"/>
  <c r="CY175" i="3"/>
  <c r="AU175" i="3" s="1"/>
  <c r="AZ175" i="3" s="1"/>
  <c r="J175" i="9" s="1"/>
  <c r="BJ175" i="3"/>
  <c r="BL175" i="3" s="1"/>
  <c r="BM175" i="3" s="1"/>
  <c r="CY199" i="3"/>
  <c r="AU199" i="3" s="1"/>
  <c r="AZ199" i="3" s="1"/>
  <c r="J199" i="9" s="1"/>
  <c r="BJ199" i="3"/>
  <c r="BL199" i="3" s="1"/>
  <c r="BM199" i="3" s="1"/>
  <c r="AZ284" i="3"/>
  <c r="J284" i="9" s="1"/>
  <c r="CY106" i="3"/>
  <c r="AU106" i="3" s="1"/>
  <c r="AZ106" i="3" s="1"/>
  <c r="J106" i="9" s="1"/>
  <c r="BJ106" i="3"/>
  <c r="BL106" i="3" s="1"/>
  <c r="BM106" i="3" s="1"/>
  <c r="CY204" i="3"/>
  <c r="AU204" i="3" s="1"/>
  <c r="AZ204" i="3" s="1"/>
  <c r="J204" i="9" s="1"/>
  <c r="BJ204" i="3"/>
  <c r="BL204" i="3" s="1"/>
  <c r="BM204" i="3" s="1"/>
  <c r="AY12" i="3"/>
  <c r="CY119" i="3"/>
  <c r="AU119" i="3" s="1"/>
  <c r="AY119" i="3" s="1"/>
  <c r="BJ119" i="3"/>
  <c r="BL119" i="3" s="1"/>
  <c r="BM119" i="3" s="1"/>
  <c r="CY230" i="3"/>
  <c r="AU230" i="3" s="1"/>
  <c r="AZ230" i="3" s="1"/>
  <c r="J230" i="9" s="1"/>
  <c r="BJ230" i="3"/>
  <c r="BL230" i="3" s="1"/>
  <c r="BM230" i="3" s="1"/>
  <c r="CY244" i="3"/>
  <c r="AU244" i="3" s="1"/>
  <c r="AZ244" i="3" s="1"/>
  <c r="J244" i="9" s="1"/>
  <c r="BJ244" i="3"/>
  <c r="BL244" i="3" s="1"/>
  <c r="BM244" i="3" s="1"/>
  <c r="CY211" i="3"/>
  <c r="AU211" i="3" s="1"/>
  <c r="AY211" i="3" s="1"/>
  <c r="BJ211" i="3"/>
  <c r="BL211" i="3" s="1"/>
  <c r="BM211" i="3" s="1"/>
  <c r="AY7" i="3"/>
  <c r="BJ7" i="3"/>
  <c r="BL7" i="3" s="1"/>
  <c r="BM7" i="3" s="1"/>
  <c r="CY97" i="3"/>
  <c r="AU97" i="3" s="1"/>
  <c r="AY97" i="3" s="1"/>
  <c r="BJ97" i="3"/>
  <c r="BL97" i="3" s="1"/>
  <c r="BM97" i="3" s="1"/>
  <c r="CY76" i="3"/>
  <c r="AU76" i="3" s="1"/>
  <c r="AZ76" i="3" s="1"/>
  <c r="J76" i="9" s="1"/>
  <c r="BJ76" i="3"/>
  <c r="BL76" i="3" s="1"/>
  <c r="BM76" i="3" s="1"/>
  <c r="CY161" i="3"/>
  <c r="AU161" i="3" s="1"/>
  <c r="AY161" i="3" s="1"/>
  <c r="BJ161" i="3"/>
  <c r="BL161" i="3" s="1"/>
  <c r="BM161" i="3" s="1"/>
  <c r="CY50" i="3"/>
  <c r="AU50" i="3" s="1"/>
  <c r="AZ50" i="3" s="1"/>
  <c r="J50" i="9" s="1"/>
  <c r="BJ50" i="3"/>
  <c r="BL50" i="3" s="1"/>
  <c r="BM50" i="3" s="1"/>
  <c r="AY80" i="3"/>
  <c r="CY253" i="3"/>
  <c r="AU253" i="3" s="1"/>
  <c r="AZ253" i="3" s="1"/>
  <c r="J253" i="9" s="1"/>
  <c r="BJ253" i="3"/>
  <c r="BL253" i="3" s="1"/>
  <c r="BM253" i="3" s="1"/>
  <c r="CY73" i="3"/>
  <c r="AU73" i="3" s="1"/>
  <c r="AY73" i="3" s="1"/>
  <c r="BJ73" i="3"/>
  <c r="BL73" i="3" s="1"/>
  <c r="BM73" i="3" s="1"/>
  <c r="CY276" i="3"/>
  <c r="AU276" i="3" s="1"/>
  <c r="AZ276" i="3" s="1"/>
  <c r="J276" i="9" s="1"/>
  <c r="BJ276" i="3"/>
  <c r="BL276" i="3" s="1"/>
  <c r="BM276" i="3" s="1"/>
  <c r="CY99" i="3"/>
  <c r="AU99" i="3" s="1"/>
  <c r="AY99" i="3" s="1"/>
  <c r="BJ99" i="3"/>
  <c r="BL99" i="3" s="1"/>
  <c r="BM99" i="3" s="1"/>
  <c r="BJ42" i="3"/>
  <c r="BL42" i="3" s="1"/>
  <c r="BM42" i="3" s="1"/>
  <c r="AY182" i="3"/>
  <c r="BJ182" i="3"/>
  <c r="BL182" i="3" s="1"/>
  <c r="BM182" i="3" s="1"/>
  <c r="AT13" i="3"/>
  <c r="AR13" i="3"/>
  <c r="BJ203" i="3"/>
  <c r="BL203" i="3" s="1"/>
  <c r="BM203" i="3" s="1"/>
  <c r="AY203" i="3"/>
  <c r="BJ22" i="3"/>
  <c r="BL22" i="3" s="1"/>
  <c r="BM22" i="3" s="1"/>
  <c r="AY22" i="3"/>
  <c r="BJ174" i="3"/>
  <c r="BL174" i="3" s="1"/>
  <c r="BM174" i="3" s="1"/>
  <c r="AY174" i="3"/>
  <c r="BJ103" i="3"/>
  <c r="BL103" i="3" s="1"/>
  <c r="BM103" i="3" s="1"/>
  <c r="AY103" i="3"/>
  <c r="BJ105" i="3"/>
  <c r="BL105" i="3" s="1"/>
  <c r="BM105" i="3" s="1"/>
  <c r="AY105" i="3"/>
  <c r="AY150" i="3"/>
  <c r="BJ150" i="3"/>
  <c r="BL150" i="3" s="1"/>
  <c r="BM150" i="3" s="1"/>
  <c r="BJ153" i="3"/>
  <c r="BL153" i="3" s="1"/>
  <c r="BM153" i="3" s="1"/>
  <c r="AY153" i="3"/>
  <c r="BJ56" i="3"/>
  <c r="BL56" i="3" s="1"/>
  <c r="BM56" i="3" s="1"/>
  <c r="AY56" i="3"/>
  <c r="AY37" i="3"/>
  <c r="BJ37" i="3"/>
  <c r="BL37" i="3" s="1"/>
  <c r="BM37" i="3" s="1"/>
  <c r="AY62" i="3"/>
  <c r="BJ62" i="3"/>
  <c r="BL62" i="3" s="1"/>
  <c r="BM62" i="3" s="1"/>
  <c r="AY149" i="3"/>
  <c r="BJ149" i="3"/>
  <c r="BL149" i="3" s="1"/>
  <c r="BM149" i="3" s="1"/>
  <c r="BJ159" i="3"/>
  <c r="BL159" i="3" s="1"/>
  <c r="BM159" i="3" s="1"/>
  <c r="AY159" i="3"/>
  <c r="BJ162" i="3"/>
  <c r="BL162" i="3" s="1"/>
  <c r="BM162" i="3" s="1"/>
  <c r="AY162" i="3"/>
  <c r="AY46" i="3"/>
  <c r="BJ46" i="3"/>
  <c r="BL46" i="3" s="1"/>
  <c r="BM46" i="3" s="1"/>
  <c r="AY39" i="3"/>
  <c r="BJ39" i="3"/>
  <c r="BL39" i="3" s="1"/>
  <c r="BM39" i="3" s="1"/>
  <c r="AY171" i="3"/>
  <c r="BJ171" i="3"/>
  <c r="BL171" i="3" s="1"/>
  <c r="BM171" i="3" s="1"/>
  <c r="AY234" i="3"/>
  <c r="BJ234" i="3"/>
  <c r="BL234" i="3" s="1"/>
  <c r="BM234" i="3" s="1"/>
  <c r="BJ193" i="3"/>
  <c r="BL193" i="3" s="1"/>
  <c r="BM193" i="3" s="1"/>
  <c r="AY193" i="3"/>
  <c r="AY220" i="3"/>
  <c r="BJ220" i="3"/>
  <c r="BL220" i="3" s="1"/>
  <c r="BM220" i="3" s="1"/>
  <c r="BJ138" i="3"/>
  <c r="BL138" i="3" s="1"/>
  <c r="BM138" i="3" s="1"/>
  <c r="AY138" i="3"/>
  <c r="BJ125" i="3"/>
  <c r="BL125" i="3" s="1"/>
  <c r="BM125" i="3" s="1"/>
  <c r="AY125" i="3"/>
  <c r="AY146" i="3"/>
  <c r="BJ146" i="3"/>
  <c r="BL146" i="3" s="1"/>
  <c r="BM146" i="3" s="1"/>
  <c r="AY144" i="3"/>
  <c r="BJ144" i="3"/>
  <c r="BL144" i="3" s="1"/>
  <c r="BM144" i="3" s="1"/>
  <c r="BJ59" i="3"/>
  <c r="BL59" i="3" s="1"/>
  <c r="BM59" i="3" s="1"/>
  <c r="AY59" i="3"/>
  <c r="BJ158" i="3"/>
  <c r="BL158" i="3" s="1"/>
  <c r="BM158" i="3" s="1"/>
  <c r="AY158" i="3"/>
  <c r="BJ43" i="3"/>
  <c r="BL43" i="3" s="1"/>
  <c r="BM43" i="3" s="1"/>
  <c r="AY43" i="3"/>
  <c r="BJ191" i="3"/>
  <c r="BL191" i="3" s="1"/>
  <c r="BM191" i="3" s="1"/>
  <c r="AY191" i="3"/>
  <c r="AY179" i="3"/>
  <c r="BJ179" i="3"/>
  <c r="BL179" i="3" s="1"/>
  <c r="BM179" i="3" s="1"/>
  <c r="AY212" i="3"/>
  <c r="BJ212" i="3"/>
  <c r="BL212" i="3" s="1"/>
  <c r="BM212" i="3" s="1"/>
  <c r="BJ192" i="3"/>
  <c r="BL192" i="3" s="1"/>
  <c r="BM192" i="3" s="1"/>
  <c r="AY192" i="3"/>
  <c r="BJ164" i="3"/>
  <c r="BL164" i="3" s="1"/>
  <c r="BM164" i="3" s="1"/>
  <c r="AY164" i="3"/>
  <c r="AY213" i="3"/>
  <c r="BJ213" i="3"/>
  <c r="BL213" i="3" s="1"/>
  <c r="BM213" i="3" s="1"/>
  <c r="BJ136" i="3"/>
  <c r="BL136" i="3" s="1"/>
  <c r="BM136" i="3" s="1"/>
  <c r="AY136" i="3"/>
  <c r="AY166" i="3"/>
  <c r="BJ166" i="3"/>
  <c r="BL166" i="3" s="1"/>
  <c r="BM166" i="3" s="1"/>
  <c r="BJ19" i="3"/>
  <c r="BL19" i="3" s="1"/>
  <c r="BM19" i="3" s="1"/>
  <c r="AY19" i="3"/>
  <c r="BJ95" i="3"/>
  <c r="BL95" i="3" s="1"/>
  <c r="BM95" i="3" s="1"/>
  <c r="AY95" i="3"/>
  <c r="BJ121" i="3"/>
  <c r="BL121" i="3" s="1"/>
  <c r="BM121" i="3" s="1"/>
  <c r="AY121" i="3"/>
  <c r="BJ86" i="3"/>
  <c r="BL86" i="3" s="1"/>
  <c r="BM86" i="3" s="1"/>
  <c r="AY86" i="3"/>
  <c r="AY257" i="3"/>
  <c r="BJ257" i="3"/>
  <c r="BL257" i="3" s="1"/>
  <c r="BM257" i="3" s="1"/>
  <c r="BJ55" i="3"/>
  <c r="BL55" i="3" s="1"/>
  <c r="BM55" i="3" s="1"/>
  <c r="AY55" i="3"/>
  <c r="BJ141" i="3"/>
  <c r="BL141" i="3" s="1"/>
  <c r="BM141" i="3" s="1"/>
  <c r="AY141" i="3"/>
  <c r="BJ61" i="3"/>
  <c r="BL61" i="3" s="1"/>
  <c r="BM61" i="3" s="1"/>
  <c r="AY61" i="3"/>
  <c r="AY261" i="3"/>
  <c r="BJ261" i="3"/>
  <c r="BL261" i="3" s="1"/>
  <c r="BM261" i="3" s="1"/>
  <c r="BJ195" i="3"/>
  <c r="BL195" i="3" s="1"/>
  <c r="BM195" i="3" s="1"/>
  <c r="AY195" i="3"/>
  <c r="BJ205" i="3"/>
  <c r="BL205" i="3" s="1"/>
  <c r="BM205" i="3" s="1"/>
  <c r="AY205" i="3"/>
  <c r="BJ132" i="3"/>
  <c r="BL132" i="3" s="1"/>
  <c r="BM132" i="3" s="1"/>
  <c r="AY132" i="3"/>
  <c r="AY38" i="3"/>
  <c r="BJ38" i="3"/>
  <c r="BL38" i="3" s="1"/>
  <c r="BM38" i="3" s="1"/>
  <c r="BJ156" i="3"/>
  <c r="BL156" i="3" s="1"/>
  <c r="BM156" i="3" s="1"/>
  <c r="AY156" i="3"/>
  <c r="BJ169" i="3"/>
  <c r="BL169" i="3" s="1"/>
  <c r="BM169" i="3" s="1"/>
  <c r="AY169" i="3"/>
  <c r="AY256" i="3"/>
  <c r="BJ256" i="3"/>
  <c r="BL256" i="3" s="1"/>
  <c r="BM256" i="3" s="1"/>
  <c r="BJ128" i="3"/>
  <c r="BL128" i="3" s="1"/>
  <c r="BM128" i="3" s="1"/>
  <c r="AY128" i="3"/>
  <c r="BJ202" i="3"/>
  <c r="BL202" i="3" s="1"/>
  <c r="BM202" i="3" s="1"/>
  <c r="AY202" i="3"/>
  <c r="BJ160" i="3"/>
  <c r="BL160" i="3" s="1"/>
  <c r="BM160" i="3" s="1"/>
  <c r="AY160" i="3"/>
  <c r="BJ57" i="3"/>
  <c r="BL57" i="3" s="1"/>
  <c r="BM57" i="3" s="1"/>
  <c r="AY57" i="3"/>
  <c r="AY44" i="3"/>
  <c r="BJ44" i="3"/>
  <c r="BL44" i="3" s="1"/>
  <c r="BM44" i="3" s="1"/>
  <c r="AY232" i="3"/>
  <c r="BJ232" i="3"/>
  <c r="BL232" i="3" s="1"/>
  <c r="BM232" i="3" s="1"/>
  <c r="BJ49" i="3"/>
  <c r="BL49" i="3" s="1"/>
  <c r="BM49" i="3" s="1"/>
  <c r="AY49" i="3"/>
  <c r="BJ151" i="3"/>
  <c r="BL151" i="3" s="1"/>
  <c r="BM151" i="3" s="1"/>
  <c r="AY151" i="3"/>
  <c r="AY262" i="3"/>
  <c r="BJ262" i="3"/>
  <c r="BL262" i="3" s="1"/>
  <c r="BM262" i="3" s="1"/>
  <c r="AY209" i="3"/>
  <c r="BJ209" i="3"/>
  <c r="BL209" i="3" s="1"/>
  <c r="BM209" i="3" s="1"/>
  <c r="AY218" i="3"/>
  <c r="BJ218" i="3"/>
  <c r="BL218" i="3" s="1"/>
  <c r="BM218" i="3" s="1"/>
  <c r="AY217" i="3"/>
  <c r="BJ217" i="3"/>
  <c r="BL217" i="3" s="1"/>
  <c r="BM217" i="3" s="1"/>
  <c r="AY40" i="3"/>
  <c r="BJ40" i="3"/>
  <c r="BL40" i="3" s="1"/>
  <c r="BM40" i="3" s="1"/>
  <c r="BJ155" i="3"/>
  <c r="BL155" i="3" s="1"/>
  <c r="BM155" i="3" s="1"/>
  <c r="AY155" i="3"/>
  <c r="AY67" i="3"/>
  <c r="BJ67" i="3"/>
  <c r="BL67" i="3" s="1"/>
  <c r="BM67" i="3" s="1"/>
  <c r="BJ201" i="3"/>
  <c r="BL201" i="3" s="1"/>
  <c r="BM201" i="3" s="1"/>
  <c r="AY201" i="3"/>
  <c r="BJ134" i="3"/>
  <c r="BL134" i="3" s="1"/>
  <c r="BM134" i="3" s="1"/>
  <c r="AY134" i="3"/>
  <c r="BJ184" i="3"/>
  <c r="BL184" i="3" s="1"/>
  <c r="BM184" i="3" s="1"/>
  <c r="AY184" i="3"/>
  <c r="AY271" i="3"/>
  <c r="BJ271" i="3"/>
  <c r="BL271" i="3" s="1"/>
  <c r="BM271" i="3" s="1"/>
  <c r="BJ118" i="3"/>
  <c r="BL118" i="3" s="1"/>
  <c r="BM118" i="3" s="1"/>
  <c r="AY118" i="3"/>
  <c r="AY91" i="3"/>
  <c r="BJ91" i="3"/>
  <c r="BL91" i="3" s="1"/>
  <c r="BM91" i="3" s="1"/>
  <c r="BJ109" i="3"/>
  <c r="BL109" i="3" s="1"/>
  <c r="BM109" i="3" s="1"/>
  <c r="AY109" i="3"/>
  <c r="BJ115" i="3"/>
  <c r="BL115" i="3" s="1"/>
  <c r="BM115" i="3" s="1"/>
  <c r="AY115" i="3"/>
  <c r="AY52" i="3"/>
  <c r="BJ52" i="3"/>
  <c r="BL52" i="3" s="1"/>
  <c r="BM52" i="3" s="1"/>
  <c r="BJ6" i="3"/>
  <c r="BL6" i="3" s="1"/>
  <c r="BM6" i="3" s="1"/>
  <c r="AY6" i="3"/>
  <c r="BJ133" i="3"/>
  <c r="BL133" i="3" s="1"/>
  <c r="BM133" i="3" s="1"/>
  <c r="AY133" i="3"/>
  <c r="AY258" i="3"/>
  <c r="BJ258" i="3"/>
  <c r="BL258" i="3" s="1"/>
  <c r="BM258" i="3" s="1"/>
  <c r="AY72" i="3"/>
  <c r="BJ72" i="3"/>
  <c r="BL72" i="3" s="1"/>
  <c r="BM72" i="3" s="1"/>
  <c r="BJ198" i="3"/>
  <c r="BL198" i="3" s="1"/>
  <c r="BM198" i="3" s="1"/>
  <c r="AY198" i="3"/>
  <c r="BJ189" i="3"/>
  <c r="BL189" i="3" s="1"/>
  <c r="BM189" i="3" s="1"/>
  <c r="AY189" i="3"/>
  <c r="AY221" i="3"/>
  <c r="BJ221" i="3"/>
  <c r="BL221" i="3" s="1"/>
  <c r="BM221" i="3" s="1"/>
  <c r="AY216" i="3"/>
  <c r="BJ216" i="3"/>
  <c r="BL216" i="3" s="1"/>
  <c r="BM216" i="3" s="1"/>
  <c r="AY148" i="3"/>
  <c r="BJ148" i="3"/>
  <c r="BL148" i="3" s="1"/>
  <c r="BM148" i="3" s="1"/>
  <c r="AY231" i="3"/>
  <c r="BJ231" i="3"/>
  <c r="BL231" i="3" s="1"/>
  <c r="BM231" i="3" s="1"/>
  <c r="BJ176" i="3"/>
  <c r="BL176" i="3" s="1"/>
  <c r="BM176" i="3" s="1"/>
  <c r="AY176" i="3"/>
  <c r="AY25" i="3"/>
  <c r="BJ25" i="3"/>
  <c r="BL25" i="3" s="1"/>
  <c r="BM25" i="3" s="1"/>
  <c r="AY63" i="3"/>
  <c r="BJ63" i="3"/>
  <c r="BL63" i="3" s="1"/>
  <c r="BM63" i="3" s="1"/>
  <c r="BJ47" i="3"/>
  <c r="BL47" i="3" s="1"/>
  <c r="BM47" i="3" s="1"/>
  <c r="AY47" i="3"/>
  <c r="AY89" i="3"/>
  <c r="BJ89" i="3"/>
  <c r="BL89" i="3" s="1"/>
  <c r="BM89" i="3" s="1"/>
  <c r="AY70" i="3"/>
  <c r="BJ70" i="3"/>
  <c r="BL70" i="3" s="1"/>
  <c r="BM70" i="3" s="1"/>
  <c r="AY66" i="3"/>
  <c r="BJ66" i="3"/>
  <c r="BL66" i="3" s="1"/>
  <c r="BM66" i="3" s="1"/>
  <c r="AY23" i="3"/>
  <c r="BJ23" i="3"/>
  <c r="BL23" i="3" s="1"/>
  <c r="BM23" i="3" s="1"/>
  <c r="BJ152" i="3"/>
  <c r="BL152" i="3" s="1"/>
  <c r="BM152" i="3" s="1"/>
  <c r="AY152" i="3"/>
  <c r="BJ206" i="3"/>
  <c r="BL206" i="3" s="1"/>
  <c r="BM206" i="3" s="1"/>
  <c r="AY206" i="3"/>
  <c r="BJ173" i="3"/>
  <c r="BL173" i="3" s="1"/>
  <c r="BM173" i="3" s="1"/>
  <c r="AY173" i="3"/>
  <c r="AY219" i="3"/>
  <c r="BJ219" i="3"/>
  <c r="BL219" i="3" s="1"/>
  <c r="BM219" i="3" s="1"/>
  <c r="AY33" i="3"/>
  <c r="BJ33" i="3"/>
  <c r="BL33" i="3" s="1"/>
  <c r="BM33" i="3" s="1"/>
  <c r="AY64" i="3"/>
  <c r="BJ64" i="3"/>
  <c r="BL64" i="3" s="1"/>
  <c r="BM64" i="3" s="1"/>
  <c r="AY167" i="3"/>
  <c r="BJ167" i="3"/>
  <c r="BL167" i="3" s="1"/>
  <c r="BM167" i="3" s="1"/>
  <c r="BJ53" i="3"/>
  <c r="BL53" i="3" s="1"/>
  <c r="BM53" i="3" s="1"/>
  <c r="AY53" i="3"/>
  <c r="BJ60" i="3"/>
  <c r="BL60" i="3" s="1"/>
  <c r="BM60" i="3" s="1"/>
  <c r="AY60" i="3"/>
  <c r="AY240" i="3"/>
  <c r="BJ240" i="3"/>
  <c r="BL240" i="3" s="1"/>
  <c r="BM240" i="3" s="1"/>
  <c r="AY235" i="3"/>
  <c r="BJ235" i="3"/>
  <c r="BL235" i="3" s="1"/>
  <c r="BM235" i="3" s="1"/>
  <c r="BJ98" i="3"/>
  <c r="BL98" i="3" s="1"/>
  <c r="BM98" i="3" s="1"/>
  <c r="AY98" i="3"/>
  <c r="AT178" i="3"/>
  <c r="AT275" i="3"/>
  <c r="AR275" i="3"/>
  <c r="AT268" i="3"/>
  <c r="AZ268" i="3" s="1"/>
  <c r="J268" i="9" s="1"/>
  <c r="AR268" i="3"/>
  <c r="BH268" i="3" s="1"/>
  <c r="AR9" i="3"/>
  <c r="BH9" i="3" s="1"/>
  <c r="AT9" i="3"/>
  <c r="AZ9" i="3" s="1"/>
  <c r="J9" i="9" s="1"/>
  <c r="AR249" i="3"/>
  <c r="BH249" i="3" s="1"/>
  <c r="AT249" i="3"/>
  <c r="AR58" i="3"/>
  <c r="BH58" i="3" s="1"/>
  <c r="AR54" i="3"/>
  <c r="BH54" i="3" s="1"/>
  <c r="AR178" i="3"/>
  <c r="AR143" i="3"/>
  <c r="BB289" i="3" l="1"/>
  <c r="BG289" i="3" s="1"/>
  <c r="AY286" i="3"/>
  <c r="AY48" i="3"/>
  <c r="AY186" i="3"/>
  <c r="AY30" i="3"/>
  <c r="AY229" i="3"/>
  <c r="AY190" i="3"/>
  <c r="BB229" i="3"/>
  <c r="BG229" i="3" s="1"/>
  <c r="J186" i="9"/>
  <c r="BB186" i="3"/>
  <c r="BG186" i="3" s="1"/>
  <c r="J200" i="9"/>
  <c r="BB200" i="3"/>
  <c r="BG200" i="3" s="1"/>
  <c r="J48" i="9"/>
  <c r="BB48" i="3"/>
  <c r="BG48" i="3" s="1"/>
  <c r="J142" i="9"/>
  <c r="BB142" i="3"/>
  <c r="BG142" i="3" s="1"/>
  <c r="J30" i="9"/>
  <c r="BB30" i="3"/>
  <c r="BG30" i="3" s="1"/>
  <c r="J190" i="9"/>
  <c r="BB190" i="3"/>
  <c r="BG190" i="3" s="1"/>
  <c r="AZ180" i="3"/>
  <c r="AY200" i="3"/>
  <c r="J286" i="9"/>
  <c r="BB286" i="3"/>
  <c r="BG286" i="3" s="1"/>
  <c r="AY142" i="3"/>
  <c r="AZ75" i="3"/>
  <c r="AY233" i="3"/>
  <c r="J45" i="9"/>
  <c r="BB45" i="3"/>
  <c r="BG45" i="3" s="1"/>
  <c r="BB233" i="3"/>
  <c r="BG233" i="3" s="1"/>
  <c r="AY45" i="3"/>
  <c r="AV278" i="3"/>
  <c r="CY8" i="3"/>
  <c r="BB9" i="3"/>
  <c r="BG9" i="3" s="1"/>
  <c r="BB276" i="3"/>
  <c r="BG276" i="3" s="1"/>
  <c r="BB106" i="3"/>
  <c r="BG106" i="3" s="1"/>
  <c r="BB251" i="3"/>
  <c r="BG251" i="3" s="1"/>
  <c r="BB123" i="3"/>
  <c r="BG123" i="3" s="1"/>
  <c r="BB177" i="3"/>
  <c r="BG177" i="3" s="1"/>
  <c r="BB50" i="3"/>
  <c r="BG50" i="3" s="1"/>
  <c r="BB230" i="3"/>
  <c r="BG230" i="3" s="1"/>
  <c r="BB284" i="3"/>
  <c r="BG284" i="3" s="1"/>
  <c r="BB264" i="3"/>
  <c r="BG264" i="3" s="1"/>
  <c r="BB265" i="3"/>
  <c r="BG265" i="3" s="1"/>
  <c r="BB225" i="3"/>
  <c r="BG225" i="3" s="1"/>
  <c r="BB223" i="3"/>
  <c r="BG223" i="3" s="1"/>
  <c r="BB113" i="3"/>
  <c r="BG113" i="3" s="1"/>
  <c r="BB126" i="3"/>
  <c r="BG126" i="3" s="1"/>
  <c r="BB268" i="3"/>
  <c r="BG268" i="3" s="1"/>
  <c r="BB210" i="3"/>
  <c r="BG210" i="3" s="1"/>
  <c r="BB76" i="3"/>
  <c r="BG76" i="3" s="1"/>
  <c r="BB181" i="3"/>
  <c r="BG181" i="3" s="1"/>
  <c r="BB175" i="3"/>
  <c r="BG175" i="3" s="1"/>
  <c r="BB250" i="3"/>
  <c r="BG250" i="3" s="1"/>
  <c r="BB196" i="3"/>
  <c r="BG196" i="3" s="1"/>
  <c r="BB187" i="3"/>
  <c r="BG187" i="3" s="1"/>
  <c r="BB226" i="3"/>
  <c r="BG226" i="3" s="1"/>
  <c r="BB197" i="3"/>
  <c r="BG197" i="3" s="1"/>
  <c r="BB101" i="3"/>
  <c r="BG101" i="3" s="1"/>
  <c r="BB117" i="3"/>
  <c r="BG117" i="3" s="1"/>
  <c r="BB107" i="3"/>
  <c r="BG107" i="3" s="1"/>
  <c r="BB238" i="3"/>
  <c r="BG238" i="3" s="1"/>
  <c r="BB282" i="3"/>
  <c r="BG282" i="3" s="1"/>
  <c r="BB204" i="3"/>
  <c r="BG204" i="3" s="1"/>
  <c r="BB131" i="3"/>
  <c r="BG131" i="3" s="1"/>
  <c r="BB140" i="3"/>
  <c r="BG140" i="3" s="1"/>
  <c r="BB199" i="3"/>
  <c r="BG199" i="3" s="1"/>
  <c r="BB253" i="3"/>
  <c r="BG253" i="3" s="1"/>
  <c r="BB244" i="3"/>
  <c r="BG244" i="3" s="1"/>
  <c r="BB185" i="3"/>
  <c r="BG185" i="3" s="1"/>
  <c r="BB248" i="3"/>
  <c r="BG248" i="3" s="1"/>
  <c r="BB26" i="3"/>
  <c r="BG26" i="3" s="1"/>
  <c r="AY210" i="3"/>
  <c r="AZ147" i="3"/>
  <c r="J147" i="9" s="1"/>
  <c r="AY226" i="3"/>
  <c r="AY101" i="3"/>
  <c r="AZ78" i="3"/>
  <c r="J78" i="9" s="1"/>
  <c r="AY248" i="3"/>
  <c r="AZ207" i="3"/>
  <c r="J207" i="9" s="1"/>
  <c r="AZ74" i="3"/>
  <c r="J74" i="9" s="1"/>
  <c r="AZ254" i="3"/>
  <c r="J254" i="9" s="1"/>
  <c r="AZ154" i="3"/>
  <c r="J154" i="9" s="1"/>
  <c r="AY282" i="3"/>
  <c r="AZ145" i="3"/>
  <c r="J145" i="9" s="1"/>
  <c r="BH13" i="3"/>
  <c r="BJ13" i="3" s="1"/>
  <c r="BL13" i="3" s="1"/>
  <c r="BM13" i="3" s="1"/>
  <c r="CX13" i="3"/>
  <c r="CY13" i="3" s="1"/>
  <c r="AU13" i="3" s="1"/>
  <c r="BH143" i="3"/>
  <c r="BJ143" i="3" s="1"/>
  <c r="BL143" i="3" s="1"/>
  <c r="BM143" i="3" s="1"/>
  <c r="CX143" i="3"/>
  <c r="CY143" i="3" s="1"/>
  <c r="AU143" i="3" s="1"/>
  <c r="AZ143" i="3" s="1"/>
  <c r="J143" i="9" s="1"/>
  <c r="BH178" i="3"/>
  <c r="BJ178" i="3" s="1"/>
  <c r="BL178" i="3" s="1"/>
  <c r="BM178" i="3" s="1"/>
  <c r="CX178" i="3"/>
  <c r="CY178" i="3" s="1"/>
  <c r="AU178" i="3" s="1"/>
  <c r="AY178" i="3" s="1"/>
  <c r="BH275" i="3"/>
  <c r="BJ275" i="3" s="1"/>
  <c r="BL275" i="3" s="1"/>
  <c r="BM275" i="3" s="1"/>
  <c r="CX275" i="3"/>
  <c r="CY275" i="3" s="1"/>
  <c r="AU275" i="3" s="1"/>
  <c r="AZ275" i="3" s="1"/>
  <c r="J275" i="9" s="1"/>
  <c r="AY204" i="3"/>
  <c r="AZ242" i="3"/>
  <c r="J242" i="9" s="1"/>
  <c r="AZ172" i="3"/>
  <c r="J172" i="9" s="1"/>
  <c r="AZ215" i="3"/>
  <c r="J215" i="9" s="1"/>
  <c r="AZ161" i="3"/>
  <c r="J161" i="9" s="1"/>
  <c r="AZ165" i="3"/>
  <c r="J165" i="9" s="1"/>
  <c r="AY76" i="3"/>
  <c r="AZ119" i="3"/>
  <c r="J119" i="9" s="1"/>
  <c r="AZ73" i="3"/>
  <c r="J73" i="9" s="1"/>
  <c r="AY117" i="3"/>
  <c r="AY175" i="3"/>
  <c r="AY196" i="3"/>
  <c r="AZ97" i="3"/>
  <c r="J97" i="9" s="1"/>
  <c r="AY181" i="3"/>
  <c r="AY50" i="3"/>
  <c r="AZ170" i="3"/>
  <c r="J170" i="9" s="1"/>
  <c r="AY223" i="3"/>
  <c r="AY238" i="3"/>
  <c r="AY265" i="3"/>
  <c r="AZ41" i="3"/>
  <c r="J41" i="9" s="1"/>
  <c r="AY250" i="3"/>
  <c r="AZ68" i="3"/>
  <c r="J68" i="9" s="1"/>
  <c r="AY276" i="3"/>
  <c r="AY225" i="3"/>
  <c r="AZ99" i="3"/>
  <c r="J99" i="9" s="1"/>
  <c r="AZ194" i="3"/>
  <c r="J194" i="9" s="1"/>
  <c r="AY107" i="3"/>
  <c r="AY244" i="3"/>
  <c r="AZ71" i="3"/>
  <c r="J71" i="9" s="1"/>
  <c r="AZ211" i="3"/>
  <c r="J211" i="9" s="1"/>
  <c r="AZ224" i="3"/>
  <c r="J224" i="9" s="1"/>
  <c r="AY113" i="3"/>
  <c r="AZ227" i="3"/>
  <c r="J227" i="9" s="1"/>
  <c r="AY26" i="3"/>
  <c r="AY187" i="3"/>
  <c r="AY185" i="3"/>
  <c r="AY106" i="3"/>
  <c r="AZ252" i="3"/>
  <c r="J252" i="9" s="1"/>
  <c r="AZ11" i="3"/>
  <c r="J11" i="9" s="1"/>
  <c r="AY199" i="3"/>
  <c r="AY253" i="3"/>
  <c r="AY230" i="3"/>
  <c r="AZ24" i="3"/>
  <c r="J24" i="9" s="1"/>
  <c r="AY197" i="3"/>
  <c r="CY249" i="3"/>
  <c r="AU249" i="3" s="1"/>
  <c r="AY249" i="3" s="1"/>
  <c r="BJ249" i="3"/>
  <c r="BL249" i="3" s="1"/>
  <c r="BM249" i="3" s="1"/>
  <c r="AY214" i="3"/>
  <c r="AZ214" i="3"/>
  <c r="J214" i="9" s="1"/>
  <c r="BJ58" i="3"/>
  <c r="BL58" i="3" s="1"/>
  <c r="BM58" i="3" s="1"/>
  <c r="AY58" i="3"/>
  <c r="BJ9" i="3"/>
  <c r="BL9" i="3" s="1"/>
  <c r="BM9" i="3" s="1"/>
  <c r="AY9" i="3"/>
  <c r="BJ54" i="3"/>
  <c r="BL54" i="3" s="1"/>
  <c r="BM54" i="3" s="1"/>
  <c r="AY54" i="3"/>
  <c r="AY268" i="3"/>
  <c r="BJ268" i="3"/>
  <c r="BL268" i="3" s="1"/>
  <c r="BM268" i="3" s="1"/>
  <c r="P5" i="3"/>
  <c r="P4" i="3" s="1"/>
  <c r="L5" i="3"/>
  <c r="J180" i="9" l="1"/>
  <c r="BB180" i="3"/>
  <c r="BG180" i="3" s="1"/>
  <c r="J75" i="9"/>
  <c r="BB75" i="3"/>
  <c r="BG75" i="3" s="1"/>
  <c r="AV266" i="3"/>
  <c r="S5" i="3"/>
  <c r="S4" i="3" s="1"/>
  <c r="L4" i="3"/>
  <c r="AU8" i="3"/>
  <c r="BB211" i="3"/>
  <c r="BG211" i="3" s="1"/>
  <c r="BB154" i="3"/>
  <c r="BG154" i="3" s="1"/>
  <c r="BB254" i="3"/>
  <c r="BG254" i="3" s="1"/>
  <c r="BB24" i="3"/>
  <c r="BG24" i="3" s="1"/>
  <c r="BB41" i="3"/>
  <c r="BG41" i="3" s="1"/>
  <c r="BB215" i="3"/>
  <c r="BG215" i="3" s="1"/>
  <c r="BB143" i="3"/>
  <c r="BG143" i="3" s="1"/>
  <c r="BB74" i="3"/>
  <c r="BG74" i="3" s="1"/>
  <c r="BB252" i="3"/>
  <c r="BG252" i="3" s="1"/>
  <c r="BB68" i="3"/>
  <c r="BG68" i="3" s="1"/>
  <c r="BB165" i="3"/>
  <c r="BG165" i="3" s="1"/>
  <c r="BB147" i="3"/>
  <c r="BG147" i="3" s="1"/>
  <c r="BB207" i="3"/>
  <c r="BG207" i="3" s="1"/>
  <c r="BB227" i="3"/>
  <c r="BG227" i="3" s="1"/>
  <c r="BB99" i="3"/>
  <c r="BG99" i="3" s="1"/>
  <c r="BB73" i="3"/>
  <c r="BG73" i="3" s="1"/>
  <c r="BB78" i="3"/>
  <c r="BG78" i="3" s="1"/>
  <c r="BB71" i="3"/>
  <c r="BG71" i="3" s="1"/>
  <c r="BB97" i="3"/>
  <c r="BG97" i="3" s="1"/>
  <c r="BB214" i="3"/>
  <c r="BG214" i="3" s="1"/>
  <c r="BB170" i="3"/>
  <c r="BG170" i="3" s="1"/>
  <c r="BB119" i="3"/>
  <c r="BG119" i="3" s="1"/>
  <c r="BB275" i="3"/>
  <c r="BG275" i="3" s="1"/>
  <c r="BB145" i="3"/>
  <c r="BG145" i="3" s="1"/>
  <c r="BB161" i="3"/>
  <c r="BG161" i="3" s="1"/>
  <c r="BB172" i="3"/>
  <c r="BG172" i="3" s="1"/>
  <c r="BB194" i="3"/>
  <c r="BG194" i="3" s="1"/>
  <c r="BB242" i="3"/>
  <c r="BG242" i="3" s="1"/>
  <c r="BB11" i="3"/>
  <c r="BG11" i="3" s="1"/>
  <c r="BB224" i="3"/>
  <c r="BG224" i="3" s="1"/>
  <c r="AY275" i="3"/>
  <c r="AY143" i="3"/>
  <c r="AZ178" i="3"/>
  <c r="J178" i="9" s="1"/>
  <c r="AZ249" i="3"/>
  <c r="J249" i="9" s="1"/>
  <c r="AZ13" i="3"/>
  <c r="J13" i="9" s="1"/>
  <c r="AY13" i="3"/>
  <c r="N5" i="3"/>
  <c r="N4" i="3" s="1"/>
  <c r="R5" i="3"/>
  <c r="R4" i="3" s="1"/>
  <c r="AV233" i="3" l="1"/>
  <c r="BN5" i="3"/>
  <c r="BN4" i="3" s="1"/>
  <c r="BS5" i="3"/>
  <c r="BT5" i="3" s="1"/>
  <c r="BU5" i="3" s="1"/>
  <c r="BV5" i="3" s="1"/>
  <c r="BV4" i="3" s="1"/>
  <c r="CI5" i="3"/>
  <c r="CM5" i="3" s="1"/>
  <c r="CM4" i="3" s="1"/>
  <c r="CJ5" i="3"/>
  <c r="BW5" i="3"/>
  <c r="BW4" i="3" s="1"/>
  <c r="BO5" i="3"/>
  <c r="BQ5" i="3" s="1"/>
  <c r="BR5" i="3" s="1"/>
  <c r="BR4" i="3" s="1"/>
  <c r="AY8" i="3"/>
  <c r="AZ8" i="3"/>
  <c r="BB13" i="3"/>
  <c r="BG13" i="3" s="1"/>
  <c r="BB249" i="3"/>
  <c r="BG249" i="3" s="1"/>
  <c r="BB178" i="3"/>
  <c r="BG178" i="3" s="1"/>
  <c r="BB8" i="3" l="1"/>
  <c r="BG8" i="3" s="1"/>
  <c r="J8" i="9"/>
  <c r="AV160" i="3"/>
  <c r="BP5" i="3"/>
  <c r="CK5" i="3"/>
  <c r="CK4" i="3" s="1"/>
  <c r="CL5" i="3"/>
  <c r="CL4" i="3" s="1"/>
  <c r="W5" i="3"/>
  <c r="W4" i="3" s="1"/>
  <c r="AV39" i="3" l="1"/>
  <c r="AD5" i="3"/>
  <c r="AD4" i="3" s="1"/>
  <c r="V5" i="3"/>
  <c r="V4" i="3" s="1"/>
  <c r="AV58" i="3" l="1"/>
  <c r="U5" i="3"/>
  <c r="U4" i="3" s="1"/>
  <c r="AV27" i="3" l="1"/>
  <c r="AS5" i="3"/>
  <c r="AS4" i="3" s="1"/>
  <c r="AV37" i="3" l="1"/>
  <c r="CG5" i="3"/>
  <c r="CH5" i="3" s="1"/>
  <c r="AM5" i="3" l="1"/>
  <c r="AM4" i="3" s="1"/>
  <c r="CH4" i="3"/>
  <c r="AV52" i="3"/>
  <c r="AR5" i="3" l="1"/>
  <c r="AT5" i="3"/>
  <c r="AT4" i="3" s="1"/>
  <c r="AV64" i="3"/>
  <c r="CX5" i="3" l="1"/>
  <c r="BH5" i="3"/>
  <c r="BH4" i="3" s="1"/>
  <c r="AR4" i="3"/>
  <c r="AV134" i="3"/>
  <c r="CY5" i="3" l="1"/>
  <c r="CX4" i="3"/>
  <c r="BJ5" i="3"/>
  <c r="BL5" i="3" s="1"/>
  <c r="BL4" i="3" s="1"/>
  <c r="AV135" i="3"/>
  <c r="AU5" i="3" l="1"/>
  <c r="CY4" i="3"/>
  <c r="BM5" i="3"/>
  <c r="BM4" i="3" s="1"/>
  <c r="BJ4" i="3"/>
  <c r="AV147" i="3"/>
  <c r="AU4" i="3" l="1"/>
  <c r="AY5" i="3"/>
  <c r="AY4" i="3" s="1"/>
  <c r="AZ5" i="3"/>
  <c r="AV166" i="3"/>
  <c r="J5" i="9" l="1"/>
  <c r="BB5" i="3"/>
  <c r="AZ4" i="3"/>
  <c r="AV169" i="3"/>
  <c r="BG5" i="3" l="1"/>
  <c r="BG4" i="3" s="1"/>
  <c r="BB4" i="3"/>
  <c r="AV175" i="3"/>
  <c r="AV176" i="3" l="1"/>
  <c r="AV191" i="3" l="1"/>
  <c r="AV227" i="3" l="1"/>
  <c r="AV259" i="3" l="1"/>
  <c r="AV277" i="3" l="1"/>
  <c r="AV287" i="3" l="1"/>
  <c r="AV10" i="3" l="1"/>
  <c r="AV20" i="3" l="1"/>
  <c r="AV70" i="3" l="1"/>
  <c r="AV133" i="3" l="1"/>
  <c r="AV257" i="3" l="1"/>
  <c r="AV111" i="3" l="1"/>
  <c r="AV172" i="3" l="1"/>
  <c r="AV184" i="3" l="1"/>
  <c r="AV185" i="3" l="1"/>
  <c r="AV221" i="3" l="1"/>
  <c r="AV224" i="3" l="1"/>
  <c r="AV230" i="3" l="1"/>
  <c r="AV269" i="3" l="1"/>
  <c r="AV15" i="3" l="1"/>
  <c r="AV45" i="3" l="1"/>
  <c r="AV84" i="3" l="1"/>
  <c r="AV96" i="3" l="1"/>
  <c r="AV21" i="3" l="1"/>
  <c r="AV22" i="3" l="1"/>
  <c r="AV46" i="3" l="1"/>
  <c r="AV51" i="3" l="1"/>
  <c r="AV92" i="3" l="1"/>
  <c r="AV95" i="3" l="1"/>
  <c r="AV97" i="3" l="1"/>
  <c r="AV113" i="3" l="1"/>
  <c r="AV118" i="3" l="1"/>
  <c r="AV131" i="3" l="1"/>
  <c r="AV154" i="3" l="1"/>
  <c r="AV155" i="3" l="1"/>
  <c r="AV163" i="3" l="1"/>
  <c r="AV164" i="3" l="1"/>
  <c r="AV182" i="3" l="1"/>
  <c r="AV194" i="3" l="1"/>
  <c r="AV214" i="3" l="1"/>
  <c r="AV228" i="3" l="1"/>
  <c r="AV245" i="3" l="1"/>
  <c r="AV268" i="3" l="1"/>
  <c r="AV288" i="3" l="1"/>
  <c r="AV13" i="3" l="1"/>
  <c r="AV50" i="3" l="1"/>
  <c r="AV85" i="3" l="1"/>
  <c r="AV91" i="3" l="1"/>
  <c r="AV105" i="3" l="1"/>
  <c r="AV157" i="3" l="1"/>
  <c r="AV183" i="3" l="1"/>
  <c r="AV186" i="3" l="1"/>
  <c r="AV203" i="3" l="1"/>
  <c r="AV213" i="3" l="1"/>
  <c r="AV31" i="3" l="1"/>
  <c r="AV53" i="3" l="1"/>
  <c r="AV73" i="3" l="1"/>
  <c r="AV83" i="3" l="1"/>
  <c r="AV107" i="3" l="1"/>
  <c r="AV109" i="3" l="1"/>
  <c r="AV110" i="3" l="1"/>
  <c r="AV125" i="3" l="1"/>
  <c r="AV138" i="3" l="1"/>
  <c r="AV217" i="3" l="1"/>
  <c r="AV275" i="3" l="1"/>
  <c r="AV23" i="3" l="1"/>
  <c r="AV54" i="3" l="1"/>
  <c r="AV60" i="3" l="1"/>
  <c r="AV82" i="3" l="1"/>
  <c r="AV250" i="3" l="1"/>
  <c r="AV87" i="3"/>
  <c r="AV108" i="3" l="1"/>
  <c r="AV112" i="3" l="1"/>
  <c r="AV114" i="3" l="1"/>
  <c r="AV116" i="3" l="1"/>
  <c r="AV117" i="3" l="1"/>
  <c r="AV161" i="3" l="1"/>
  <c r="AV193" i="3" l="1"/>
  <c r="AV234" i="3" l="1"/>
  <c r="AV236" i="3" l="1"/>
  <c r="AV244" i="3" l="1"/>
  <c r="AV254" i="3" l="1"/>
  <c r="AV271" i="3" l="1"/>
  <c r="AV200" i="3" l="1"/>
  <c r="AV98" i="3" l="1"/>
  <c r="AV119" i="3" l="1"/>
  <c r="AV165" i="3" l="1"/>
  <c r="AV177" i="3" l="1"/>
  <c r="AV205" i="3" l="1"/>
  <c r="AV210" i="3" l="1"/>
  <c r="AV232" i="3" l="1"/>
  <c r="AV14" i="3" l="1"/>
  <c r="AV17" i="3" l="1"/>
  <c r="AV30" i="3" l="1"/>
  <c r="AV62" i="3" l="1"/>
  <c r="AV94" i="3" l="1"/>
  <c r="AV115" i="3" l="1"/>
  <c r="AV121" i="3" l="1"/>
  <c r="AV122" i="3" l="1"/>
  <c r="AV123" i="3" l="1"/>
  <c r="AV126" i="3" l="1"/>
  <c r="AV127" i="3" l="1"/>
  <c r="AV132" i="3" l="1"/>
  <c r="AV151" i="3" l="1"/>
  <c r="AV167" i="3" l="1"/>
  <c r="AV171" i="3" l="1"/>
  <c r="AV173" i="3" l="1"/>
  <c r="AV187" i="3" l="1"/>
  <c r="AV188" i="3" l="1"/>
  <c r="AV192" i="3" l="1"/>
  <c r="AV206" i="3" l="1"/>
  <c r="AV209" i="3" l="1"/>
  <c r="AV218" i="3" l="1"/>
  <c r="AV237" i="3" l="1"/>
  <c r="AV249" i="3" l="1"/>
  <c r="AV252" i="3" l="1"/>
  <c r="AV262" i="3" l="1"/>
  <c r="AV267" i="3" l="1"/>
  <c r="AV7" i="3" l="1"/>
  <c r="AV9" i="3" l="1"/>
  <c r="AV18" i="3" l="1"/>
  <c r="AV19" i="3" l="1"/>
  <c r="AV24" i="3" l="1"/>
  <c r="AV26" i="3" l="1"/>
  <c r="AV33" i="3" l="1"/>
  <c r="AV43" i="3" l="1"/>
  <c r="AV61" i="3" l="1"/>
  <c r="AV69" i="3" l="1"/>
  <c r="AV80" i="3" l="1"/>
  <c r="AV81" i="3" l="1"/>
  <c r="AV99" i="3" l="1"/>
  <c r="AV102" i="3" l="1"/>
  <c r="AV104" i="3" l="1"/>
  <c r="AV106" i="3" l="1"/>
  <c r="AV130" i="3" l="1"/>
  <c r="AV139" i="3" l="1"/>
  <c r="AV140" i="3" l="1"/>
  <c r="AV142" i="3" l="1"/>
  <c r="AV145" i="3" l="1"/>
  <c r="AV149" i="3" l="1"/>
  <c r="AV150" i="3" l="1"/>
  <c r="AV170" i="3" l="1"/>
  <c r="AV180" i="3" l="1"/>
  <c r="AV196" i="3" l="1"/>
  <c r="AV207" i="3" l="1"/>
  <c r="AV216" i="3" l="1"/>
  <c r="AV251" i="3" l="1"/>
  <c r="AV263" i="3" l="1"/>
  <c r="AV273" i="3" l="1"/>
  <c r="AV285" i="3" l="1"/>
  <c r="AV8" i="3" l="1"/>
  <c r="AV71" i="3" l="1"/>
  <c r="AV101" i="3" l="1"/>
  <c r="AV103" i="3" l="1"/>
  <c r="AV168" i="3" l="1"/>
  <c r="AV179" i="3" l="1"/>
  <c r="AV189" i="3" l="1"/>
  <c r="AV195" i="3" l="1"/>
  <c r="AV279" i="3" l="1"/>
  <c r="AV32" i="3" l="1"/>
  <c r="AV68" i="3" l="1"/>
  <c r="AV211" i="3" l="1"/>
  <c r="AV241" i="3" l="1"/>
  <c r="AV284" i="3" l="1"/>
  <c r="AV47" i="3" l="1"/>
  <c r="AV48" i="3" l="1"/>
  <c r="AV72" i="3" l="1"/>
  <c r="AV11" i="3" l="1"/>
  <c r="AV25" i="3" l="1"/>
  <c r="AV29" i="3" l="1"/>
  <c r="AV35" i="3" l="1"/>
  <c r="AV38" i="3" l="1"/>
  <c r="AV44" i="3" l="1"/>
  <c r="AV79" i="3" l="1"/>
  <c r="AV86" i="3" l="1"/>
  <c r="AV93" i="3" l="1"/>
  <c r="AV136" i="3" l="1"/>
  <c r="AV152" i="3" l="1"/>
  <c r="AV159" i="3" l="1"/>
  <c r="AV199" i="3" l="1"/>
  <c r="AV202" i="3" l="1"/>
  <c r="AV212" i="3" l="1"/>
  <c r="AV215" i="3" l="1"/>
  <c r="AV220" i="3" l="1"/>
  <c r="AV223" i="3" l="1"/>
  <c r="AV226" i="3" l="1"/>
  <c r="AV229" i="3" l="1"/>
  <c r="AV235" i="3" l="1"/>
  <c r="AV238" i="3" l="1"/>
  <c r="AV242" i="3" l="1"/>
  <c r="AV247" i="3" l="1"/>
  <c r="AV248" i="3" l="1"/>
  <c r="AV253" i="3" l="1"/>
  <c r="AV261" i="3" l="1"/>
  <c r="AV283" i="3" l="1"/>
  <c r="AV286" i="3" l="1"/>
  <c r="AV290" i="3" l="1"/>
  <c r="AV256" i="3" l="1"/>
  <c r="AV6" i="3" l="1"/>
  <c r="AV28" i="3" l="1"/>
  <c r="AV41" i="3" l="1"/>
  <c r="AV67" i="3" l="1"/>
  <c r="AV76" i="3" l="1"/>
  <c r="AV77" i="3" l="1"/>
  <c r="AV78" i="3" l="1"/>
  <c r="AV88" i="3"/>
  <c r="AV89" i="3" l="1"/>
  <c r="AV120" i="3" l="1"/>
  <c r="AV124" i="3" l="1"/>
  <c r="AV158" i="3" l="1"/>
  <c r="AV174" i="3" l="1"/>
  <c r="AV178" i="3" l="1"/>
  <c r="AV181" i="3" l="1"/>
  <c r="AV201" i="3" l="1"/>
  <c r="AV231" i="3" l="1"/>
  <c r="AV258" i="3" l="1"/>
  <c r="AV264" i="3" l="1"/>
  <c r="AV276" i="3" l="1"/>
  <c r="AV274" i="3"/>
</calcChain>
</file>

<file path=xl/comments1.xml><?xml version="1.0" encoding="utf-8"?>
<comments xmlns="http://schemas.openxmlformats.org/spreadsheetml/2006/main">
  <authors>
    <author>Sara Barnes</author>
    <author>sbarnes</author>
    <author>RoseMary Ireland</author>
  </authors>
  <commentList>
    <comment ref="AE3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11-21-13:  Updated non-proficient counts.</t>
        </r>
      </text>
    </comment>
    <comment ref="CP3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Shading denotes approved virtual at-risk plans.</t>
        </r>
      </text>
    </comment>
    <comment ref="BI79" authorId="1">
      <text>
        <r>
          <rPr>
            <b/>
            <sz val="9"/>
            <color indexed="81"/>
            <rFont val="Tahoma"/>
            <family val="2"/>
          </rPr>
          <t>sbarnes:</t>
        </r>
        <r>
          <rPr>
            <sz val="9"/>
            <color indexed="81"/>
            <rFont val="Tahoma"/>
            <family val="2"/>
          </rPr>
          <t xml:space="preserve">
Additional 1% for election expires June 30, 2015.</t>
        </r>
      </text>
    </comment>
    <comment ref="AU101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7-28-14:  Per email from Rose, Craig/VP recommended to change Authorized Transfers from $126,600 to $0.
8-7-14:  Realized we were not in balance with Axel due to late change;  I revised LEF form and he repulled/computed for this district final general fund.</t>
        </r>
      </text>
    </comment>
    <comment ref="AP113" authorId="2">
      <text>
        <r>
          <rPr>
            <b/>
            <sz val="9"/>
            <color indexed="81"/>
            <rFont val="Tahoma"/>
            <family val="2"/>
          </rPr>
          <t>RoseMary Ireland:</t>
        </r>
        <r>
          <rPr>
            <sz val="9"/>
            <color indexed="81"/>
            <rFont val="Tahoma"/>
            <family val="2"/>
          </rPr>
          <t xml:space="preserve">
Special ed state aid plus a supp pmt on June 11 of $5,326
</t>
        </r>
      </text>
    </comment>
    <comment ref="BA126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6-2-14:  Per Jim Kenworthy, original published budget did not match Excel file submitted.</t>
        </r>
      </text>
    </comment>
    <comment ref="AU139" authorId="0">
      <text>
        <r>
          <rPr>
            <b/>
            <sz val="9"/>
            <color indexed="81"/>
            <rFont val="Tahoma"/>
            <charset val="1"/>
          </rPr>
          <t>Sara Barnes:</t>
        </r>
        <r>
          <rPr>
            <sz val="9"/>
            <color indexed="81"/>
            <rFont val="Tahoma"/>
            <charset val="1"/>
          </rPr>
          <t xml:space="preserve">
10-6-14:  Sent revised legal max letter to reflect actual transfers as reported on USD budget.  Originally reported $42,751 on Local Effort.</t>
        </r>
      </text>
    </comment>
    <comment ref="AU248" authorId="0">
      <text>
        <r>
          <rPr>
            <b/>
            <sz val="9"/>
            <color indexed="81"/>
            <rFont val="Tahoma"/>
            <charset val="1"/>
          </rPr>
          <t>Sara Barnes:</t>
        </r>
        <r>
          <rPr>
            <sz val="9"/>
            <color indexed="81"/>
            <rFont val="Tahoma"/>
            <charset val="1"/>
          </rPr>
          <t xml:space="preserve">
10-6-14:  Sent revised legal max letter to reflect actual transfers as reported on USD budget.  Originally reported $170,000 on Local Effort.</t>
        </r>
      </text>
    </comment>
    <comment ref="AU254" authorId="0">
      <text>
        <r>
          <rPr>
            <b/>
            <sz val="9"/>
            <color indexed="81"/>
            <rFont val="Tahoma"/>
            <charset val="1"/>
          </rPr>
          <t>Sara Barnes:</t>
        </r>
        <r>
          <rPr>
            <sz val="9"/>
            <color indexed="81"/>
            <rFont val="Tahoma"/>
            <charset val="1"/>
          </rPr>
          <t xml:space="preserve">
10-6-14:  Sent revised legal max letter to reflect actual transfers as reported on USD budget.  Originally reported $266,000 on Local Effort.</t>
        </r>
      </text>
    </comment>
    <comment ref="AU286" authorId="0">
      <text>
        <r>
          <rPr>
            <b/>
            <sz val="9"/>
            <color indexed="81"/>
            <rFont val="Tahoma"/>
            <charset val="1"/>
          </rPr>
          <t>Sara Barnes:</t>
        </r>
        <r>
          <rPr>
            <sz val="9"/>
            <color indexed="81"/>
            <rFont val="Tahoma"/>
            <charset val="1"/>
          </rPr>
          <t xml:space="preserve">
10-6-14:  Sent revised legal max letter to reflect actual transfers as reported on USD budget.  Originally reported $1,910 on Local Effort.</t>
        </r>
      </text>
    </comment>
  </commentList>
</comments>
</file>

<file path=xl/comments2.xml><?xml version="1.0" encoding="utf-8"?>
<comments xmlns="http://schemas.openxmlformats.org/spreadsheetml/2006/main">
  <authors>
    <author>kmercer</author>
  </authors>
  <commentList>
    <comment ref="B279" authorId="0">
      <text>
        <r>
          <rPr>
            <sz val="8"/>
            <color indexed="81"/>
            <rFont val="Tahoma"/>
            <family val="2"/>
          </rPr>
          <t xml:space="preserve">$303,432 payment added back for 07-08 payment paid in 08-09
</t>
        </r>
      </text>
    </comment>
  </commentList>
</comments>
</file>

<file path=xl/comments3.xml><?xml version="1.0" encoding="utf-8"?>
<comments xmlns="http://schemas.openxmlformats.org/spreadsheetml/2006/main">
  <authors>
    <author>Kevin Mercer</author>
    <author>Sara Barnes</author>
  </authors>
  <commentList>
    <comment ref="AB252" authorId="0">
      <text>
        <r>
          <rPr>
            <b/>
            <sz val="9"/>
            <color indexed="81"/>
            <rFont val="Tahoma"/>
            <family val="2"/>
          </rPr>
          <t>Kevin Mercer:</t>
        </r>
        <r>
          <rPr>
            <sz val="9"/>
            <color indexed="81"/>
            <rFont val="Tahoma"/>
            <family val="2"/>
          </rPr>
          <t xml:space="preserve">
Was originally reported as 1,445,391. Sent us incorrect budget. 4/1/13</t>
        </r>
      </text>
    </comment>
    <comment ref="B255" authorId="1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1/27/14 -- Balance with Axel on LM determined 9/20 FTE did not get corrected as a result of correcting KAMS per Mike on 10/29/13.</t>
        </r>
      </text>
    </comment>
  </commentList>
</comments>
</file>

<file path=xl/comments4.xml><?xml version="1.0" encoding="utf-8"?>
<comments xmlns="http://schemas.openxmlformats.org/spreadsheetml/2006/main">
  <authors>
    <author>RoseMary Ireland</author>
  </authors>
  <commentList>
    <comment ref="AC192" authorId="0">
      <text>
        <r>
          <rPr>
            <b/>
            <sz val="9"/>
            <color indexed="81"/>
            <rFont val="Tahoma"/>
            <family val="2"/>
          </rPr>
          <t>RoseMary Ireland:</t>
        </r>
        <r>
          <rPr>
            <sz val="9"/>
            <color indexed="81"/>
            <rFont val="Tahoma"/>
            <family val="2"/>
          </rPr>
          <t xml:space="preserve">
16 are republished budgets</t>
        </r>
      </text>
    </comment>
    <comment ref="AC213" authorId="0">
      <text>
        <r>
          <rPr>
            <b/>
            <sz val="9"/>
            <color indexed="81"/>
            <rFont val="Tahoma"/>
            <family val="2"/>
          </rPr>
          <t>RoseMary Ireland:</t>
        </r>
        <r>
          <rPr>
            <sz val="9"/>
            <color indexed="81"/>
            <rFont val="Tahoma"/>
            <family val="2"/>
          </rPr>
          <t xml:space="preserve">
20 was republished budgets</t>
        </r>
      </text>
    </comment>
    <comment ref="AC282" authorId="0">
      <text>
        <r>
          <rPr>
            <b/>
            <sz val="9"/>
            <color indexed="81"/>
            <rFont val="Tahoma"/>
            <family val="2"/>
          </rPr>
          <t>RoseMary Ireland:</t>
        </r>
        <r>
          <rPr>
            <sz val="9"/>
            <color indexed="81"/>
            <rFont val="Tahoma"/>
            <family val="2"/>
          </rPr>
          <t xml:space="preserve">
27 republished budgets</t>
        </r>
      </text>
    </comment>
    <comment ref="AC283" authorId="0">
      <text>
        <r>
          <rPr>
            <b/>
            <sz val="9"/>
            <color indexed="81"/>
            <rFont val="Tahoma"/>
            <family val="2"/>
          </rPr>
          <t>RoseMary Ireland:</t>
        </r>
        <r>
          <rPr>
            <sz val="9"/>
            <color indexed="81"/>
            <rFont val="Tahoma"/>
            <family val="2"/>
          </rPr>
          <t xml:space="preserve">
29 Republished budgets</t>
        </r>
      </text>
    </comment>
    <comment ref="AC284" authorId="0">
      <text>
        <r>
          <rPr>
            <b/>
            <sz val="9"/>
            <color indexed="81"/>
            <rFont val="Tahoma"/>
            <family val="2"/>
          </rPr>
          <t>RoseMary Ireland:</t>
        </r>
        <r>
          <rPr>
            <sz val="9"/>
            <color indexed="81"/>
            <rFont val="Tahoma"/>
            <family val="2"/>
          </rPr>
          <t xml:space="preserve">
29 Republished budgets</t>
        </r>
      </text>
    </comment>
  </commentList>
</comments>
</file>

<file path=xl/sharedStrings.xml><?xml version="1.0" encoding="utf-8"?>
<sst xmlns="http://schemas.openxmlformats.org/spreadsheetml/2006/main" count="2178" uniqueCount="960">
  <si>
    <t>USD</t>
  </si>
  <si>
    <t/>
  </si>
  <si>
    <t xml:space="preserve"> </t>
  </si>
  <si>
    <t>Index</t>
  </si>
  <si>
    <t>0-99.9</t>
  </si>
  <si>
    <t>100-299.9</t>
  </si>
  <si>
    <t>Neosho</t>
  </si>
  <si>
    <t>Gray</t>
  </si>
  <si>
    <t>Cheyenne</t>
  </si>
  <si>
    <t>Jewell</t>
  </si>
  <si>
    <t>Greeley</t>
  </si>
  <si>
    <t>Wyandotte</t>
  </si>
  <si>
    <t>Butler</t>
  </si>
  <si>
    <t>Leavenworth</t>
  </si>
  <si>
    <t>Trego</t>
  </si>
  <si>
    <t>Stevens</t>
  </si>
  <si>
    <t>Norton</t>
  </si>
  <si>
    <t>Grant</t>
  </si>
  <si>
    <t>Kearny</t>
  </si>
  <si>
    <t>Morton</t>
  </si>
  <si>
    <t>Clark</t>
  </si>
  <si>
    <t>Washington</t>
  </si>
  <si>
    <t>Meade</t>
  </si>
  <si>
    <t>Hodgeman</t>
  </si>
  <si>
    <t>Johnson</t>
  </si>
  <si>
    <t>Bourbon</t>
  </si>
  <si>
    <t>Smith</t>
  </si>
  <si>
    <t>Ottawa</t>
  </si>
  <si>
    <t>Wallace</t>
  </si>
  <si>
    <t>Coffey</t>
  </si>
  <si>
    <t>Crawford</t>
  </si>
  <si>
    <t>Cherokee</t>
  </si>
  <si>
    <t>Lyon</t>
  </si>
  <si>
    <t>Barber</t>
  </si>
  <si>
    <t>Allen</t>
  </si>
  <si>
    <t>Sedgwick</t>
  </si>
  <si>
    <t>Wichita</t>
  </si>
  <si>
    <t>Rooks</t>
  </si>
  <si>
    <t>Mitchell</t>
  </si>
  <si>
    <t>Logan</t>
  </si>
  <si>
    <t>Graham</t>
  </si>
  <si>
    <t>Elk</t>
  </si>
  <si>
    <t>Chase</t>
  </si>
  <si>
    <t>Chautauqua</t>
  </si>
  <si>
    <t>Franklin</t>
  </si>
  <si>
    <t>Gove</t>
  </si>
  <si>
    <t>Decatur</t>
  </si>
  <si>
    <t>Lincoln</t>
  </si>
  <si>
    <t>Comanche</t>
  </si>
  <si>
    <t>Ness</t>
  </si>
  <si>
    <t>Saline</t>
  </si>
  <si>
    <t>Reno</t>
  </si>
  <si>
    <t>Thomas</t>
  </si>
  <si>
    <t>Rawlins</t>
  </si>
  <si>
    <t>Pottawatomie</t>
  </si>
  <si>
    <t>Phillips</t>
  </si>
  <si>
    <t>Ellsworth</t>
  </si>
  <si>
    <t>Wabaunsee</t>
  </si>
  <si>
    <t>Kingman</t>
  </si>
  <si>
    <t>Cloud</t>
  </si>
  <si>
    <t>Jackson</t>
  </si>
  <si>
    <t>Jefferson</t>
  </si>
  <si>
    <t>Linn</t>
  </si>
  <si>
    <t>Shawnee</t>
  </si>
  <si>
    <t>Edwards</t>
  </si>
  <si>
    <t>Douglas</t>
  </si>
  <si>
    <t>Stafford</t>
  </si>
  <si>
    <t>Sherman</t>
  </si>
  <si>
    <t>Sumner</t>
  </si>
  <si>
    <t>Barton</t>
  </si>
  <si>
    <t>Harper</t>
  </si>
  <si>
    <t>Finney</t>
  </si>
  <si>
    <t>Marshall</t>
  </si>
  <si>
    <t>Anderson</t>
  </si>
  <si>
    <t>Woodson</t>
  </si>
  <si>
    <t>Miami</t>
  </si>
  <si>
    <t>Harvey</t>
  </si>
  <si>
    <t>Haskell</t>
  </si>
  <si>
    <t>Rice</t>
  </si>
  <si>
    <t>Atchison</t>
  </si>
  <si>
    <t>Riley</t>
  </si>
  <si>
    <t>Clay</t>
  </si>
  <si>
    <t>Ford</t>
  </si>
  <si>
    <t>Pratt</t>
  </si>
  <si>
    <t>Greenwood</t>
  </si>
  <si>
    <t>Wilson</t>
  </si>
  <si>
    <t>Ellis</t>
  </si>
  <si>
    <t>Hamilton</t>
  </si>
  <si>
    <t>Osborne</t>
  </si>
  <si>
    <t>Dickinson</t>
  </si>
  <si>
    <t>Rush</t>
  </si>
  <si>
    <t>Marion</t>
  </si>
  <si>
    <t>Russell</t>
  </si>
  <si>
    <t>McPherson</t>
  </si>
  <si>
    <t>Doniphan</t>
  </si>
  <si>
    <t>Sheridan</t>
  </si>
  <si>
    <t>Brown</t>
  </si>
  <si>
    <t>Morris</t>
  </si>
  <si>
    <t>Osage</t>
  </si>
  <si>
    <t>Kiowa</t>
  </si>
  <si>
    <t>Republic</t>
  </si>
  <si>
    <t>Montgomery</t>
  </si>
  <si>
    <t>Nemaha</t>
  </si>
  <si>
    <t>Stanton</t>
  </si>
  <si>
    <t>Cowley</t>
  </si>
  <si>
    <t>Scott</t>
  </si>
  <si>
    <t>Lane</t>
  </si>
  <si>
    <t>Geary</t>
  </si>
  <si>
    <t>Seward</t>
  </si>
  <si>
    <t>Pawnee</t>
  </si>
  <si>
    <t>Labette</t>
  </si>
  <si>
    <t>Spec Ed</t>
  </si>
  <si>
    <t>Legal GF Budget</t>
  </si>
  <si>
    <t>combined</t>
  </si>
  <si>
    <t>(inc Spec Ed)</t>
  </si>
  <si>
    <t>280 Spec Ed</t>
  </si>
  <si>
    <t>281 Spec Ed</t>
  </si>
  <si>
    <t>combined (ex SE)</t>
  </si>
  <si>
    <t>spec ed dollars</t>
  </si>
  <si>
    <t>317 Spec Ed</t>
  </si>
  <si>
    <t>318 Spec Ed</t>
  </si>
  <si>
    <t>CY spec ed dollars</t>
  </si>
  <si>
    <t>FY05 GF Budget</t>
  </si>
  <si>
    <t>302 Spec Ed</t>
  </si>
  <si>
    <t>304 Spec Ed</t>
  </si>
  <si>
    <t>FY06 GF Budget</t>
  </si>
  <si>
    <t>(incl Spec Ed)</t>
  </si>
  <si>
    <t>104 Spec Ed</t>
  </si>
  <si>
    <t>278 Spec Ed</t>
  </si>
  <si>
    <t>221 Spec Ed</t>
  </si>
  <si>
    <t>222 Spec Ed</t>
  </si>
  <si>
    <t>427 Spec Ed</t>
  </si>
  <si>
    <t>455 Spec Ed</t>
  </si>
  <si>
    <t>FY07 GF Budget</t>
  </si>
  <si>
    <t>CY sped dollars</t>
  </si>
  <si>
    <t>300-1621.9</t>
  </si>
  <si>
    <t>238 Spec Ed</t>
  </si>
  <si>
    <t>324 Spec Ed</t>
  </si>
  <si>
    <t>FY09 GF Budget</t>
  </si>
  <si>
    <t>Non Prof</t>
  </si>
  <si>
    <t>Voc Ed</t>
  </si>
  <si>
    <t>Biling</t>
  </si>
  <si>
    <t>Free Lun</t>
  </si>
  <si>
    <t>New Fac</t>
  </si>
  <si>
    <t>Base Aid</t>
  </si>
  <si>
    <t>FY 09</t>
  </si>
  <si>
    <t>425 Spec Ed</t>
  </si>
  <si>
    <t>433 Spec Ed</t>
  </si>
  <si>
    <t>FY10 GF Budget</t>
  </si>
  <si>
    <t>107 Spec Ed</t>
  </si>
  <si>
    <t>279 Spec Ed</t>
  </si>
  <si>
    <t>273 Spec Ed</t>
  </si>
  <si>
    <t>Exceptions District</t>
  </si>
  <si>
    <t>328 Spec Ed</t>
  </si>
  <si>
    <t>354 Spec Ed</t>
  </si>
  <si>
    <t>441 Spec Ed</t>
  </si>
  <si>
    <t>FY11 GF Budget</t>
  </si>
  <si>
    <t>406 Spec Ed</t>
  </si>
  <si>
    <t>486 Spec Ed</t>
  </si>
  <si>
    <t>211 Spec Ed</t>
  </si>
  <si>
    <t>213 Spec Ed</t>
  </si>
  <si>
    <t>488 Spec Ed</t>
  </si>
  <si>
    <t>Col 1</t>
  </si>
  <si>
    <t>Col 2</t>
  </si>
  <si>
    <t>Col 3</t>
  </si>
  <si>
    <t>Col 4</t>
  </si>
  <si>
    <t>Col 4(a)</t>
  </si>
  <si>
    <t>Col 4(b)</t>
  </si>
  <si>
    <t xml:space="preserve">Col 4(c) </t>
  </si>
  <si>
    <t>Col 6</t>
  </si>
  <si>
    <t>Col 7</t>
  </si>
  <si>
    <t>Col 7(a)</t>
  </si>
  <si>
    <t>Col 8</t>
  </si>
  <si>
    <t>Col 8(a)</t>
  </si>
  <si>
    <t>Col 9</t>
  </si>
  <si>
    <t>Col 9(a)</t>
  </si>
  <si>
    <t>Col 9(b)</t>
  </si>
  <si>
    <t>Col 10</t>
  </si>
  <si>
    <t>Col 10(a)</t>
  </si>
  <si>
    <t>Col 11</t>
  </si>
  <si>
    <t>Col 11(a)</t>
  </si>
  <si>
    <t>Col 12</t>
  </si>
  <si>
    <t>Col 12(a)</t>
  </si>
  <si>
    <t>Col 13</t>
  </si>
  <si>
    <t>Col 14</t>
  </si>
  <si>
    <t>Col 15</t>
  </si>
  <si>
    <t>Col 16</t>
  </si>
  <si>
    <t>Col 17</t>
  </si>
  <si>
    <t>Col 18</t>
  </si>
  <si>
    <t>Col 18(a)</t>
  </si>
  <si>
    <t>Col 21</t>
  </si>
  <si>
    <t>Col 21(a)</t>
  </si>
  <si>
    <t>Col 21(b)</t>
  </si>
  <si>
    <t xml:space="preserve">Col 21(c) </t>
  </si>
  <si>
    <t>Col 21(d)</t>
  </si>
  <si>
    <t xml:space="preserve">Col 5 </t>
  </si>
  <si>
    <t>Declining Enrollment Provision</t>
  </si>
  <si>
    <t>USD #</t>
  </si>
  <si>
    <t>County</t>
  </si>
  <si>
    <t>District Name</t>
  </si>
  <si>
    <t>Adjusted Enrollment (inc 2/20 exc virtual)</t>
  </si>
  <si>
    <t>4 yr old at-risk (inc 9/20 inc 2/20)</t>
  </si>
  <si>
    <t>Total Adjusted Enrollment</t>
  </si>
  <si>
    <t>Low Enroll</t>
  </si>
  <si>
    <t>High Enroll</t>
  </si>
  <si>
    <t>Bilingual Contact Hrs</t>
  </si>
  <si>
    <t>Bilingual Weighted FTE</t>
  </si>
  <si>
    <t>At-Risk Headcount</t>
  </si>
  <si>
    <t>At-Risk Weighted FTE</t>
  </si>
  <si>
    <t>High At-Risk Weighted FTE</t>
  </si>
  <si>
    <t>Non-Proficient Weighted FTE</t>
  </si>
  <si>
    <t>New Facilities FTE</t>
  </si>
  <si>
    <t>New Facilities Weighted FTE</t>
  </si>
  <si>
    <t>Cost of Living FTE</t>
  </si>
  <si>
    <t>Computed General Fund (exc Spec Ed)</t>
  </si>
  <si>
    <t>Computed General Fund (inc Spec Ed)</t>
  </si>
  <si>
    <t>Adopted General Fund</t>
  </si>
  <si>
    <t>Budget Law Violation</t>
  </si>
  <si>
    <t>Max Computed LOB Authorized</t>
  </si>
  <si>
    <t>Adopted LOB</t>
  </si>
  <si>
    <t>Legal LOB</t>
  </si>
  <si>
    <t>1622 and higher</t>
  </si>
  <si>
    <t>Area in Square Miles</t>
  </si>
  <si>
    <t>Density Cost Per Pupil</t>
  </si>
  <si>
    <t>Transp Weighting Factor</t>
  </si>
  <si>
    <t>Trans Weighted FTE</t>
  </si>
  <si>
    <t>Table III Tax Appeal Amounts</t>
  </si>
  <si>
    <t>Cost of Living Authorized Percent</t>
  </si>
  <si>
    <t>Max Computed Cost of Living</t>
  </si>
  <si>
    <t>Cost of Living Authority</t>
  </si>
  <si>
    <t>Table IV High Density At Risk</t>
  </si>
  <si>
    <t>Students Per Square mile</t>
  </si>
  <si>
    <t>Free Lunch &gt;35.1% and &gt;212 per square mile</t>
  </si>
  <si>
    <t>Ftee Lunch &gt;=50%</t>
  </si>
  <si>
    <t>LOB Percent Used</t>
  </si>
  <si>
    <t>Virtual Non Proficient Headcount</t>
  </si>
  <si>
    <t>Virtual AP Course 1st Semester</t>
  </si>
  <si>
    <t>1st Semester Weighting</t>
  </si>
  <si>
    <t>Virtual AP Course 2nd Semester</t>
  </si>
  <si>
    <t>2nd Semester Weighting</t>
  </si>
  <si>
    <t>Estimated Virtual FTE</t>
  </si>
  <si>
    <t>Table V Virtual Weighting</t>
  </si>
  <si>
    <t>Table I Low &amp; High Enrollment</t>
  </si>
  <si>
    <t>Table II Transportation</t>
  </si>
  <si>
    <t>Virtual Non Proficient Weighting</t>
  </si>
  <si>
    <t>Sequence Number</t>
  </si>
  <si>
    <t>Audit</t>
  </si>
  <si>
    <t>Republished</t>
  </si>
  <si>
    <t>KAMS FTE</t>
  </si>
  <si>
    <r>
      <t xml:space="preserve">Board of Tax Appeals </t>
    </r>
    <r>
      <rPr>
        <b/>
        <sz val="10"/>
        <rFont val="Arial Narrow"/>
        <family val="2"/>
      </rPr>
      <t>(Ancillary)</t>
    </r>
  </si>
  <si>
    <r>
      <t>Board of Tax Appeals</t>
    </r>
    <r>
      <rPr>
        <b/>
        <sz val="10"/>
        <rFont val="Arial Narrow"/>
        <family val="2"/>
      </rPr>
      <t xml:space="preserve"> (Declining Enrollment)</t>
    </r>
  </si>
  <si>
    <r>
      <t xml:space="preserve">Board of Tax Appeals </t>
    </r>
    <r>
      <rPr>
        <b/>
        <sz val="10"/>
        <rFont val="Arial Narrow"/>
        <family val="2"/>
      </rPr>
      <t>(Cost of Living)</t>
    </r>
  </si>
  <si>
    <t>Virtual Weighted FTE</t>
  </si>
  <si>
    <t>Ancillary Weighted FTE</t>
  </si>
  <si>
    <t>Declining Enroll Weighted FTE</t>
  </si>
  <si>
    <t>Transp Over 2.5 Current Year</t>
  </si>
  <si>
    <t>Transp Weighted FTE</t>
  </si>
  <si>
    <t>Spec Ed Weighted FTE</t>
  </si>
  <si>
    <t>FY</t>
  </si>
  <si>
    <t>FY GF Budget</t>
  </si>
  <si>
    <t>227 Spec Ed</t>
  </si>
  <si>
    <t>228 Spec Ed</t>
  </si>
  <si>
    <t>424 Spec Ed</t>
  </si>
  <si>
    <t>422 Spec Ed</t>
  </si>
  <si>
    <t>Authorized Transfers</t>
  </si>
  <si>
    <t>Col 19</t>
  </si>
  <si>
    <t>Col 20</t>
  </si>
  <si>
    <t>Col 22</t>
  </si>
  <si>
    <t>Col 22(a)</t>
  </si>
  <si>
    <t>Col 22(b)</t>
  </si>
  <si>
    <t xml:space="preserve">Col 22(c) </t>
  </si>
  <si>
    <t>Col 22(d)</t>
  </si>
  <si>
    <t>Table VI Authorized Transfers</t>
  </si>
  <si>
    <t>Total Transfers</t>
  </si>
  <si>
    <t>Low and High Enroll Weighted FTE</t>
  </si>
  <si>
    <t>KAMS</t>
  </si>
  <si>
    <t>Total</t>
  </si>
  <si>
    <t>CTE Hrs</t>
  </si>
  <si>
    <t>ESOL Hrs</t>
  </si>
  <si>
    <t>AR Head</t>
  </si>
  <si>
    <t>High AR</t>
  </si>
  <si>
    <t>New Fac FTE</t>
  </si>
  <si>
    <t>Over 2.5</t>
  </si>
  <si>
    <t>Under 2.5</t>
  </si>
  <si>
    <t>Out of Dist</t>
  </si>
  <si>
    <t>Total Trans</t>
  </si>
  <si>
    <t>Virt FTE</t>
  </si>
  <si>
    <t>Virt Non Prof</t>
  </si>
  <si>
    <t>Virt 1st</t>
  </si>
  <si>
    <t>Virt 2nd</t>
  </si>
  <si>
    <t>Blank1</t>
  </si>
  <si>
    <t>Blank2</t>
  </si>
  <si>
    <t>Blank5</t>
  </si>
  <si>
    <t>Blank4</t>
  </si>
  <si>
    <t>Blank3</t>
  </si>
  <si>
    <t>Blank6</t>
  </si>
  <si>
    <t>4 yr AR</t>
  </si>
  <si>
    <t>D0101</t>
  </si>
  <si>
    <t>D0102</t>
  </si>
  <si>
    <t>D0103</t>
  </si>
  <si>
    <t>D0105</t>
  </si>
  <si>
    <t>D0106</t>
  </si>
  <si>
    <t>D0107</t>
  </si>
  <si>
    <t>D0108</t>
  </si>
  <si>
    <t>D0109</t>
  </si>
  <si>
    <t>D0110</t>
  </si>
  <si>
    <t>D0111</t>
  </si>
  <si>
    <t>D0112</t>
  </si>
  <si>
    <t>D0113</t>
  </si>
  <si>
    <t>D0114</t>
  </si>
  <si>
    <t>D0115</t>
  </si>
  <si>
    <t>D0200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</si>
  <si>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</si>
  <si>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</si>
  <si>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</si>
  <si>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</si>
  <si>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</si>
  <si>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</si>
  <si>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</si>
  <si>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</si>
  <si>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</si>
  <si>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</si>
  <si>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</si>
  <si>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D0214</t>
  </si>
  <si>
    <t>D0215</t>
  </si>
  <si>
    <t>D0216</t>
  </si>
  <si>
    <t>D0217</t>
  </si>
  <si>
    <t>D0218</t>
  </si>
  <si>
    <t>D0219</t>
  </si>
  <si>
    <t>D0220</t>
  </si>
  <si>
    <t>D0223</t>
  </si>
  <si>
    <t>D0224</t>
  </si>
  <si>
    <t>D0225</t>
  </si>
  <si>
    <t>D0226</t>
  </si>
  <si>
    <t>D0227</t>
  </si>
  <si>
    <t>D0229</t>
  </si>
  <si>
    <t>D0230</t>
  </si>
  <si>
    <t>D0231</t>
  </si>
  <si>
    <t>D0232</t>
  </si>
  <si>
    <t>D0233</t>
  </si>
  <si>
    <t>D0234</t>
  </si>
  <si>
    <t>D0235</t>
  </si>
  <si>
    <t>D0237</t>
  </si>
  <si>
    <t>D0239</t>
  </si>
  <si>
    <t>D0240</t>
  </si>
  <si>
    <t>D0241</t>
  </si>
  <si>
    <t>D0242</t>
  </si>
  <si>
    <t>D0243</t>
  </si>
  <si>
    <t>D0244</t>
  </si>
  <si>
    <t>D0245</t>
  </si>
  <si>
    <t>D0246</t>
  </si>
  <si>
    <t>D0247</t>
  </si>
  <si>
    <t>D0248</t>
  </si>
  <si>
    <t>D0249</t>
  </si>
  <si>
    <t>D0250</t>
  </si>
  <si>
    <t>D0251</t>
  </si>
  <si>
    <t>D0252</t>
  </si>
  <si>
    <t>D0253</t>
  </si>
  <si>
    <t>D0254</t>
  </si>
  <si>
    <t>D0255</t>
  </si>
  <si>
    <t>D0256</t>
  </si>
  <si>
    <t>D0257</t>
  </si>
  <si>
    <t>D0258</t>
  </si>
  <si>
    <t>D0259</t>
  </si>
  <si>
    <t>D0260</t>
  </si>
  <si>
    <t>D0261</t>
  </si>
  <si>
    <t>D0262</t>
  </si>
  <si>
    <t>D0263</t>
  </si>
  <si>
    <t>D0264</t>
  </si>
  <si>
    <t>D0265</t>
  </si>
  <si>
    <t>D0266</t>
  </si>
  <si>
    <t>D0267</t>
  </si>
  <si>
    <t>D0268</t>
  </si>
  <si>
    <t>D0269</t>
  </si>
  <si>
    <t>D0270</t>
  </si>
  <si>
    <t>D0271</t>
  </si>
  <si>
    <t>D0272</t>
  </si>
  <si>
    <t>D0273</t>
  </si>
  <si>
    <t>D0274</t>
  </si>
  <si>
    <t>D0275</t>
  </si>
  <si>
    <t>D0281</t>
  </si>
  <si>
    <t>D0282</t>
  </si>
  <si>
    <t>D0283</t>
  </si>
  <si>
    <t>D0284</t>
  </si>
  <si>
    <t>D0285</t>
  </si>
  <si>
    <t>D0286</t>
  </si>
  <si>
    <t>D0287</t>
  </si>
  <si>
    <t>D0288</t>
  </si>
  <si>
    <t>D0289</t>
  </si>
  <si>
    <t>D0290</t>
  </si>
  <si>
    <t>D0291</t>
  </si>
  <si>
    <t>D0292</t>
  </si>
  <si>
    <t>D0293</t>
  </si>
  <si>
    <t>D0294</t>
  </si>
  <si>
    <t>D0297</t>
  </si>
  <si>
    <t>D0298</t>
  </si>
  <si>
    <t>D0299</t>
  </si>
  <si>
    <t>D0300</t>
  </si>
  <si>
    <t>D0303</t>
  </si>
  <si>
    <t>D0305</t>
  </si>
  <si>
    <t>D0306</t>
  </si>
  <si>
    <t>D0307</t>
  </si>
  <si>
    <t>D0308</t>
  </si>
  <si>
    <t>D0309</t>
  </si>
  <si>
    <t>D0310</t>
  </si>
  <si>
    <t>D0311</t>
  </si>
  <si>
    <t>D0312</t>
  </si>
  <si>
    <t>D0313</t>
  </si>
  <si>
    <t>D0314</t>
  </si>
  <si>
    <t>D0315</t>
  </si>
  <si>
    <t>D0316</t>
  </si>
  <si>
    <t>D0320</t>
  </si>
  <si>
    <t>D0321</t>
  </si>
  <si>
    <t>D0322</t>
  </si>
  <si>
    <t>D0323</t>
  </si>
  <si>
    <t>D0325</t>
  </si>
  <si>
    <t>D0326</t>
  </si>
  <si>
    <t>D0327</t>
  </si>
  <si>
    <t>D0329</t>
  </si>
  <si>
    <t>D0330</t>
  </si>
  <si>
    <t>D0331</t>
  </si>
  <si>
    <t>D0332</t>
  </si>
  <si>
    <t>D0333</t>
  </si>
  <si>
    <t>D0334</t>
  </si>
  <si>
    <t>D0335</t>
  </si>
  <si>
    <t>D0336</t>
  </si>
  <si>
    <t>D0337</t>
  </si>
  <si>
    <t>D0338</t>
  </si>
  <si>
    <t>D0339</t>
  </si>
  <si>
    <t>D0340</t>
  </si>
  <si>
    <t>D0341</t>
  </si>
  <si>
    <t>D0342</t>
  </si>
  <si>
    <t>D0343</t>
  </si>
  <si>
    <t>D0344</t>
  </si>
  <si>
    <t>D0345</t>
  </si>
  <si>
    <t>D0346</t>
  </si>
  <si>
    <t>D0347</t>
  </si>
  <si>
    <t>D0348</t>
  </si>
  <si>
    <t>D0349</t>
  </si>
  <si>
    <t>D0350</t>
  </si>
  <si>
    <t>D0351</t>
  </si>
  <si>
    <t>D0352</t>
  </si>
  <si>
    <t>D0353</t>
  </si>
  <si>
    <t>D0355</t>
  </si>
  <si>
    <t>D0356</t>
  </si>
  <si>
    <t>D0357</t>
  </si>
  <si>
    <t>D0358</t>
  </si>
  <si>
    <t>D0359</t>
  </si>
  <si>
    <t>D0360</t>
  </si>
  <si>
    <t>D0361</t>
  </si>
  <si>
    <t>D0362</t>
  </si>
  <si>
    <t>D0363</t>
  </si>
  <si>
    <t>D0364</t>
  </si>
  <si>
    <t>D0365</t>
  </si>
  <si>
    <t>D0366</t>
  </si>
  <si>
    <t>D0367</t>
  </si>
  <si>
    <t>D0368</t>
  </si>
  <si>
    <t>D0369</t>
  </si>
  <si>
    <t>D0371</t>
  </si>
  <si>
    <t>D0372</t>
  </si>
  <si>
    <t>D0373</t>
  </si>
  <si>
    <t>D0374</t>
  </si>
  <si>
    <t>D0375</t>
  </si>
  <si>
    <t>D0376</t>
  </si>
  <si>
    <t>D0377</t>
  </si>
  <si>
    <t>D0378</t>
  </si>
  <si>
    <t>D0379</t>
  </si>
  <si>
    <t>D0380</t>
  </si>
  <si>
    <t>D0381</t>
  </si>
  <si>
    <t>D0382</t>
  </si>
  <si>
    <t>D0383</t>
  </si>
  <si>
    <t>D0384</t>
  </si>
  <si>
    <t>D0385</t>
  </si>
  <si>
    <t>D0386</t>
  </si>
  <si>
    <t>D0387</t>
  </si>
  <si>
    <t>D0388</t>
  </si>
  <si>
    <t>D0389</t>
  </si>
  <si>
    <t>D0390</t>
  </si>
  <si>
    <t>D0392</t>
  </si>
  <si>
    <t>D0393</t>
  </si>
  <si>
    <t>D0394</t>
  </si>
  <si>
    <t>D0395</t>
  </si>
  <si>
    <t>D0396</t>
  </si>
  <si>
    <t>D0397</t>
  </si>
  <si>
    <t>D0398</t>
  </si>
  <si>
    <t>D0399</t>
  </si>
  <si>
    <t>D0400</t>
  </si>
  <si>
    <t>D0401</t>
  </si>
  <si>
    <t>D0402</t>
  </si>
  <si>
    <t>D0403</t>
  </si>
  <si>
    <t>D0404</t>
  </si>
  <si>
    <t>D0405</t>
  </si>
  <si>
    <t>D0407</t>
  </si>
  <si>
    <t>D0408</t>
  </si>
  <si>
    <t>D0409</t>
  </si>
  <si>
    <t>D0410</t>
  </si>
  <si>
    <t>D0411</t>
  </si>
  <si>
    <t>D0412</t>
  </si>
  <si>
    <t>D0413</t>
  </si>
  <si>
    <t>D0415</t>
  </si>
  <si>
    <t>D0416</t>
  </si>
  <si>
    <t>D0417</t>
  </si>
  <si>
    <t>D0418</t>
  </si>
  <si>
    <t>D0419</t>
  </si>
  <si>
    <t>D0420</t>
  </si>
  <si>
    <t>D0421</t>
  </si>
  <si>
    <t>D0422</t>
  </si>
  <si>
    <t>D0423</t>
  </si>
  <si>
    <t>D0426</t>
  </si>
  <si>
    <t>D0428</t>
  </si>
  <si>
    <t>D0429</t>
  </si>
  <si>
    <t>D0430</t>
  </si>
  <si>
    <t>D0431</t>
  </si>
  <si>
    <t>D0432</t>
  </si>
  <si>
    <t>D0434</t>
  </si>
  <si>
    <t>D0435</t>
  </si>
  <si>
    <t>D0436</t>
  </si>
  <si>
    <t>D0437</t>
  </si>
  <si>
    <t>D0438</t>
  </si>
  <si>
    <t>D0439</t>
  </si>
  <si>
    <t>D0440</t>
  </si>
  <si>
    <t>D0443</t>
  </si>
  <si>
    <t>D0444</t>
  </si>
  <si>
    <t>D0445</t>
  </si>
  <si>
    <t>D0446</t>
  </si>
  <si>
    <t>D0447</t>
  </si>
  <si>
    <t>D0448</t>
  </si>
  <si>
    <t>D0449</t>
  </si>
  <si>
    <t>D0450</t>
  </si>
  <si>
    <t>D0452</t>
  </si>
  <si>
    <t>D0453</t>
  </si>
  <si>
    <t>D0454</t>
  </si>
  <si>
    <t>D0456</t>
  </si>
  <si>
    <t>D0457</t>
  </si>
  <si>
    <t>D0458</t>
  </si>
  <si>
    <t>D0459</t>
  </si>
  <si>
    <t>D0460</t>
  </si>
  <si>
    <t>D0461</t>
  </si>
  <si>
    <t>D0462</t>
  </si>
  <si>
    <t>D0463</t>
  </si>
  <si>
    <t>D0464</t>
  </si>
  <si>
    <t>D0465</t>
  </si>
  <si>
    <t>D0466</t>
  </si>
  <si>
    <t>D0467</t>
  </si>
  <si>
    <t>D0468</t>
  </si>
  <si>
    <t>D0469</t>
  </si>
  <si>
    <t>D0470</t>
  </si>
  <si>
    <t>D0471</t>
  </si>
  <si>
    <t>D0473</t>
  </si>
  <si>
    <t>D0474</t>
  </si>
  <si>
    <t>D0475</t>
  </si>
  <si>
    <t>D0476</t>
  </si>
  <si>
    <t>D0477</t>
  </si>
  <si>
    <t>D0479</t>
  </si>
  <si>
    <t>D0480</t>
  </si>
  <si>
    <t>D0481</t>
  </si>
  <si>
    <t>D0482</t>
  </si>
  <si>
    <t>D0483</t>
  </si>
  <si>
    <t>D0484</t>
  </si>
  <si>
    <t>D0487</t>
  </si>
  <si>
    <t>D0489</t>
  </si>
  <si>
    <t>D0490</t>
  </si>
  <si>
    <t>D0491</t>
  </si>
  <si>
    <t>D0492</t>
  </si>
  <si>
    <t>D0493</t>
  </si>
  <si>
    <t>D0494</t>
  </si>
  <si>
    <t>D0495</t>
  </si>
  <si>
    <t>D0496</t>
  </si>
  <si>
    <t>D0497</t>
  </si>
  <si>
    <t>D0498</t>
  </si>
  <si>
    <t>D0499</t>
  </si>
  <si>
    <t>D0500</t>
  </si>
  <si>
    <t>D0501</t>
  </si>
  <si>
    <t>D0502</t>
  </si>
  <si>
    <t>D0503</t>
  </si>
  <si>
    <t>D0504</t>
  </si>
  <si>
    <t>D0505</t>
  </si>
  <si>
    <t>D0506</t>
  </si>
  <si>
    <t>D0507</t>
  </si>
  <si>
    <t>D0508</t>
  </si>
  <si>
    <t>D0509</t>
  </si>
  <si>
    <t>D0511</t>
  </si>
  <si>
    <t>D0512</t>
  </si>
  <si>
    <t>Milt</t>
  </si>
  <si>
    <t>USD 104 and USD 278 will close and create USD 107 effective FY07.  USD 107 will use combined budget and higher state aid rates locked in for 2006-07, 2007-08 and 2008-09 school years.</t>
  </si>
  <si>
    <t>USD 221 and USD 222 will close and create USD 108 effective FY07.  USD 108 will use combined budget and higher state aid rates locked in for 2006-07, 2007-08 and 2008-09 school years.</t>
  </si>
  <si>
    <t>USD 427 and USD 455 will close and create USD 109 effective FY07.  USD 109 will use combined budget and higher state aid rates locked in for 2006-07, 2007-08 and 2008-09 school years.</t>
  </si>
  <si>
    <t>USD 238 and USD 324 will close and create USD 110 effective FY09.  USD 110 will use combined budget and higher state aid rates locked in for 2008-09, 2009-10 and 2010-11 school years.</t>
  </si>
  <si>
    <t>USD 425 and USD 433 will close and create USD 111 effective FY10.  USD 111 will use combined budget and higher state aid rates locked in for 2009-10, 2010-11, 2011-12, and 2012-13 school years.</t>
  </si>
  <si>
    <t>USD 279 will close and transfer territory into USD 107 effective FY10.  USD 107 will use combined budget and higher state aid rates locked in for 2009-10, 2010-11 and 2011-12 school years.</t>
  </si>
  <si>
    <t>USD 279 will close and transfer territory into USD 273 effective FY10.  USD 273 will use combined budget and higher state aid rates locked in for 2009-10, 2010-11 and 2011-12 school years.</t>
  </si>
  <si>
    <t>USD 328 and USD 354 will close and create USD 112 effective FY11.  USD 112 will use combined budget and higher state aid rates locked in for 2010-11, 2011-12, 2012,13, 2013-14, 2014-15 school years.</t>
  </si>
  <si>
    <t>USD 441 and USD 488 will close and create USD 113 effective FY11.  USD 113 will use combined budget and higher state aid rates locked in for 2010-11, 2011-12, 2012,13, 2013-14, 2014-15 school years.</t>
  </si>
  <si>
    <t>USD 406 and USD 486 will close and create USD 114 effective FY11.  USD 114 will use combined budget and higher state aid rates locked in for 2010-11, 2011-12, 2012,13, 2013-14, 2014-15 school years.</t>
  </si>
  <si>
    <t>USD 213 will close and transfer territory into USD 211 effective FY11.  USD 211 will use combined budget and higher state aid rates locked in for 2010-11, 2011-12 and 2012-13 school years.</t>
  </si>
  <si>
    <t>USD 442 and USD 451 will close and create USD 115 effective FY12.  USD 115 will use combined budget and higher state aid rates locked in for 2011-12 2012-13, 2013-14, 2014-15 school years.</t>
  </si>
  <si>
    <t>USD 228 will close and transfer territory into USD 227 effective FY12.  USD 227 will use combined budget and higher state aid rates locked in for 2011-12 2012-13, 2013-14 school years.</t>
  </si>
  <si>
    <t>USD 424 will close and transfer territory into USD 422 effective FY12.  USD 422 will use combined budget and higher state aid rates locked in for 2011-12 2012-13, 2013-14 school years.</t>
  </si>
  <si>
    <t>and higher state aid rates locked in for 2011-12 2012-13, 2013-14, 2014-15 school years.</t>
  </si>
  <si>
    <t>USD 317 and USD 318 will close and create USD 105 effective FY04.  USD 105 will use combined budget and higher state aid rates locked in for 2003-04, 2004-05,2005-06 and 2006-07 school years.</t>
  </si>
  <si>
    <t>USD 302 and USD 304 will close and create USD 106 effective FY05.  USD 106 will use combined budget and higher state aid rates locked in for 2004-05, 2005-06, 2006-07 and 2007-08 school years.</t>
  </si>
  <si>
    <t>USD 280 will close and transfer territory into USD 281 effective FY03.  USD 281 will use combined budget and higher state aid rates locked in for 2002-03, 2003-04,2004-05, and 2005-06 school years.</t>
  </si>
  <si>
    <t>Exceptions allowed per 72-6434b &amp; 72-8814b</t>
  </si>
  <si>
    <t xml:space="preserve"> Spec Ed</t>
  </si>
  <si>
    <t>FY 11</t>
  </si>
  <si>
    <t>FY 12</t>
  </si>
  <si>
    <t>FY 08</t>
  </si>
  <si>
    <t>FY 06</t>
  </si>
  <si>
    <t>FY 04</t>
  </si>
  <si>
    <t>FY 03</t>
  </si>
  <si>
    <t>FY 02</t>
  </si>
  <si>
    <t>FY12 GF Budget</t>
  </si>
  <si>
    <t>D0 #</t>
  </si>
  <si>
    <t>Pull Date</t>
  </si>
  <si>
    <t>Seq Num</t>
  </si>
  <si>
    <t>Adj Enr</t>
  </si>
  <si>
    <t>FY09 Sped</t>
  </si>
  <si>
    <t>D0#</t>
  </si>
  <si>
    <t>Trans Adj</t>
  </si>
  <si>
    <t>AR Adj</t>
  </si>
  <si>
    <t>Repub</t>
  </si>
  <si>
    <t>Adjustments and Republications</t>
  </si>
  <si>
    <t>Series No</t>
  </si>
  <si>
    <t>Pending</t>
  </si>
  <si>
    <t xml:space="preserve"> LOB Base General Fund </t>
  </si>
  <si>
    <r>
      <t xml:space="preserve">FTE Enroll (exc 4 yr old at-risk &amp; virtual) </t>
    </r>
    <r>
      <rPr>
        <b/>
        <sz val="10"/>
        <rFont val="Arial Narrow"/>
        <family val="2"/>
      </rPr>
      <t>9/20/2011</t>
    </r>
  </si>
  <si>
    <r>
      <t xml:space="preserve">FTE Enroll (exc 4 yr old at-risk &amp; virtual) </t>
    </r>
    <r>
      <rPr>
        <b/>
        <sz val="10"/>
        <rFont val="Arial Narrow"/>
        <family val="2"/>
      </rPr>
      <t>2/20/2012</t>
    </r>
  </si>
  <si>
    <r>
      <t xml:space="preserve">FTE Enroll (exc 4 yr old at-risk exc virtual) </t>
    </r>
    <r>
      <rPr>
        <b/>
        <sz val="10"/>
        <rFont val="Arial Narrow"/>
        <family val="2"/>
      </rPr>
      <t>9/20/2011 2/20/2012</t>
    </r>
  </si>
  <si>
    <t>Max Balance ($250 * Subtotal Weighted FTE exc Spec Ed)</t>
  </si>
  <si>
    <t>Auth Trans</t>
  </si>
  <si>
    <t>Color Key:</t>
  </si>
  <si>
    <t>Adopted Under Authority</t>
  </si>
  <si>
    <t xml:space="preserve">Erie-Galesburg </t>
  </si>
  <si>
    <t xml:space="preserve">Cimarron-Ensign </t>
  </si>
  <si>
    <t xml:space="preserve">Cheylin </t>
  </si>
  <si>
    <t xml:space="preserve">Rawlins County </t>
  </si>
  <si>
    <t xml:space="preserve">Western Plains </t>
  </si>
  <si>
    <t xml:space="preserve">Rock Hills </t>
  </si>
  <si>
    <t xml:space="preserve">Washington Co. Schools </t>
  </si>
  <si>
    <t xml:space="preserve">Republic County </t>
  </si>
  <si>
    <t xml:space="preserve">Thunder Ridge Schools </t>
  </si>
  <si>
    <t xml:space="preserve">Doniphan West Schools </t>
  </si>
  <si>
    <t xml:space="preserve">Central Plains </t>
  </si>
  <si>
    <t xml:space="preserve">Prairie Hills </t>
  </si>
  <si>
    <t xml:space="preserve">Riverside </t>
  </si>
  <si>
    <t xml:space="preserve">Nemaha Central </t>
  </si>
  <si>
    <t xml:space="preserve">Greeley County Schools </t>
  </si>
  <si>
    <t xml:space="preserve">Turner-Kansas City </t>
  </si>
  <si>
    <t xml:space="preserve">Piper-Kansas City </t>
  </si>
  <si>
    <t xml:space="preserve">Bonner Springs </t>
  </si>
  <si>
    <t xml:space="preserve">Bluestem </t>
  </si>
  <si>
    <t xml:space="preserve">Remington-Whitewater </t>
  </si>
  <si>
    <t xml:space="preserve">Ft Leavenworth </t>
  </si>
  <si>
    <t xml:space="preserve">Wakeeney </t>
  </si>
  <si>
    <t xml:space="preserve">Moscow Public Schools </t>
  </si>
  <si>
    <t xml:space="preserve">Hugoton Public Schools </t>
  </si>
  <si>
    <t xml:space="preserve">Norton Community Schools </t>
  </si>
  <si>
    <t xml:space="preserve">Northern Valley </t>
  </si>
  <si>
    <t xml:space="preserve">Ulysses </t>
  </si>
  <si>
    <t xml:space="preserve">Lakin </t>
  </si>
  <si>
    <t xml:space="preserve">Deerfield </t>
  </si>
  <si>
    <t xml:space="preserve">Rolla </t>
  </si>
  <si>
    <t xml:space="preserve">Elkhart </t>
  </si>
  <si>
    <t xml:space="preserve">Minneola </t>
  </si>
  <si>
    <t xml:space="preserve">Ashland </t>
  </si>
  <si>
    <t xml:space="preserve">Barnes </t>
  </si>
  <si>
    <t xml:space="preserve">Clifton-Clyde </t>
  </si>
  <si>
    <t xml:space="preserve">Fowler </t>
  </si>
  <si>
    <t xml:space="preserve">Meade </t>
  </si>
  <si>
    <t xml:space="preserve">Hodgeman County Schools </t>
  </si>
  <si>
    <t xml:space="preserve">Blue Valley </t>
  </si>
  <si>
    <t xml:space="preserve">Spring Hill </t>
  </si>
  <si>
    <t xml:space="preserve">Gardner Edgerton </t>
  </si>
  <si>
    <t xml:space="preserve">De Soto </t>
  </si>
  <si>
    <t xml:space="preserve">Olathe </t>
  </si>
  <si>
    <t xml:space="preserve">Fort Scott </t>
  </si>
  <si>
    <t xml:space="preserve">Uniontown </t>
  </si>
  <si>
    <t xml:space="preserve">Smith Center </t>
  </si>
  <si>
    <t xml:space="preserve">North Ottawa County </t>
  </si>
  <si>
    <t xml:space="preserve">Twin Valley </t>
  </si>
  <si>
    <t xml:space="preserve">Wallace County Schools </t>
  </si>
  <si>
    <t xml:space="preserve">Weskan </t>
  </si>
  <si>
    <t xml:space="preserve">Lebo-Waverly </t>
  </si>
  <si>
    <t xml:space="preserve">Burlington </t>
  </si>
  <si>
    <t xml:space="preserve">LeRoy-Gridley </t>
  </si>
  <si>
    <t xml:space="preserve">Northeast </t>
  </si>
  <si>
    <t xml:space="preserve">Cherokee </t>
  </si>
  <si>
    <t xml:space="preserve">Girard </t>
  </si>
  <si>
    <t xml:space="preserve">Frontenac Public Schools </t>
  </si>
  <si>
    <t xml:space="preserve">Pittsburg </t>
  </si>
  <si>
    <t xml:space="preserve">North Lyon County </t>
  </si>
  <si>
    <t xml:space="preserve">Southern Lyon County </t>
  </si>
  <si>
    <t xml:space="preserve">Emporia </t>
  </si>
  <si>
    <t xml:space="preserve">Barber County North </t>
  </si>
  <si>
    <t xml:space="preserve">South Barber </t>
  </si>
  <si>
    <t xml:space="preserve">Marmaton Valley </t>
  </si>
  <si>
    <t xml:space="preserve">Iola </t>
  </si>
  <si>
    <t xml:space="preserve">Humboldt </t>
  </si>
  <si>
    <t xml:space="preserve">Wichita </t>
  </si>
  <si>
    <t xml:space="preserve">Derby </t>
  </si>
  <si>
    <t xml:space="preserve">Haysville </t>
  </si>
  <si>
    <t xml:space="preserve">Valley Center Pub Sch </t>
  </si>
  <si>
    <t xml:space="preserve">Mulvane </t>
  </si>
  <si>
    <t xml:space="preserve">Clearwater </t>
  </si>
  <si>
    <t xml:space="preserve">Goddard </t>
  </si>
  <si>
    <t xml:space="preserve">Maize </t>
  </si>
  <si>
    <t xml:space="preserve">Renwick </t>
  </si>
  <si>
    <t xml:space="preserve">Cheney </t>
  </si>
  <si>
    <t xml:space="preserve">Palco </t>
  </si>
  <si>
    <t xml:space="preserve">Plainville </t>
  </si>
  <si>
    <t xml:space="preserve">Stockton </t>
  </si>
  <si>
    <t xml:space="preserve">Waconda </t>
  </si>
  <si>
    <t xml:space="preserve">Beloit </t>
  </si>
  <si>
    <t xml:space="preserve">Oakley </t>
  </si>
  <si>
    <t xml:space="preserve">Triplains </t>
  </si>
  <si>
    <t xml:space="preserve">Graham County </t>
  </si>
  <si>
    <t xml:space="preserve">West Elk </t>
  </si>
  <si>
    <t xml:space="preserve">Elk Valley </t>
  </si>
  <si>
    <t xml:space="preserve">Chase County </t>
  </si>
  <si>
    <t xml:space="preserve">Cedar Vale </t>
  </si>
  <si>
    <t xml:space="preserve">Chautauqua Co Community </t>
  </si>
  <si>
    <t xml:space="preserve">West Franklin </t>
  </si>
  <si>
    <t xml:space="preserve">Central Heights </t>
  </si>
  <si>
    <t xml:space="preserve">Wellsville </t>
  </si>
  <si>
    <t xml:space="preserve">Ottawa </t>
  </si>
  <si>
    <t xml:space="preserve">Grinnell Public Schools </t>
  </si>
  <si>
    <t xml:space="preserve">Wheatland </t>
  </si>
  <si>
    <t xml:space="preserve">Quinter Public Schools </t>
  </si>
  <si>
    <t xml:space="preserve">Oberlin </t>
  </si>
  <si>
    <t xml:space="preserve">St Francis Comm Sch </t>
  </si>
  <si>
    <t xml:space="preserve">Lincoln </t>
  </si>
  <si>
    <t xml:space="preserve">Sylvan Grove </t>
  </si>
  <si>
    <t xml:space="preserve">Comanche County </t>
  </si>
  <si>
    <t xml:space="preserve">Ness City </t>
  </si>
  <si>
    <t xml:space="preserve">Salina </t>
  </si>
  <si>
    <t xml:space="preserve">Southeast Of Saline </t>
  </si>
  <si>
    <t xml:space="preserve">Ell-Saline </t>
  </si>
  <si>
    <t xml:space="preserve">Hutchinson Public Schools </t>
  </si>
  <si>
    <t xml:space="preserve">Nickerson </t>
  </si>
  <si>
    <t xml:space="preserve">Fairfield </t>
  </si>
  <si>
    <t xml:space="preserve">Pretty Prairie </t>
  </si>
  <si>
    <t xml:space="preserve">Haven Public Schools </t>
  </si>
  <si>
    <t xml:space="preserve">Buhler </t>
  </si>
  <si>
    <t xml:space="preserve">Brewster </t>
  </si>
  <si>
    <t xml:space="preserve">Colby Public Schools </t>
  </si>
  <si>
    <t xml:space="preserve">Golden Plains </t>
  </si>
  <si>
    <t xml:space="preserve">Wamego </t>
  </si>
  <si>
    <t xml:space="preserve">Kaw Valley </t>
  </si>
  <si>
    <t xml:space="preserve">Onaga-Havensville-Wheaton </t>
  </si>
  <si>
    <t xml:space="preserve">Rock Creek </t>
  </si>
  <si>
    <t xml:space="preserve">Phillipsburg </t>
  </si>
  <si>
    <t xml:space="preserve">Logan </t>
  </si>
  <si>
    <t xml:space="preserve">Ellsworth </t>
  </si>
  <si>
    <t xml:space="preserve">Mill Creek Valley </t>
  </si>
  <si>
    <t xml:space="preserve">Mission Valley </t>
  </si>
  <si>
    <t xml:space="preserve">Kingman - Norwich </t>
  </si>
  <si>
    <t xml:space="preserve">Cunningham </t>
  </si>
  <si>
    <t xml:space="preserve">Concordia </t>
  </si>
  <si>
    <t xml:space="preserve">Southern Cloud </t>
  </si>
  <si>
    <t xml:space="preserve">North Jackson </t>
  </si>
  <si>
    <t xml:space="preserve">Holton </t>
  </si>
  <si>
    <t xml:space="preserve">Royal Valley </t>
  </si>
  <si>
    <t xml:space="preserve">Valley Falls </t>
  </si>
  <si>
    <t xml:space="preserve">Jefferson County North </t>
  </si>
  <si>
    <t xml:space="preserve">Jefferson West </t>
  </si>
  <si>
    <t xml:space="preserve">Oskaloosa Public Schools </t>
  </si>
  <si>
    <t xml:space="preserve">McLouth </t>
  </si>
  <si>
    <t xml:space="preserve">Perry Public Schools </t>
  </si>
  <si>
    <t xml:space="preserve">Pleasanton </t>
  </si>
  <si>
    <t xml:space="preserve">Seaman </t>
  </si>
  <si>
    <t xml:space="preserve">Jayhawk </t>
  </si>
  <si>
    <t xml:space="preserve">Kinsley-Offerle </t>
  </si>
  <si>
    <t xml:space="preserve">Baldwin City </t>
  </si>
  <si>
    <t xml:space="preserve">Stafford </t>
  </si>
  <si>
    <t xml:space="preserve">St John-Hudson </t>
  </si>
  <si>
    <t xml:space="preserve">Macksville </t>
  </si>
  <si>
    <t xml:space="preserve">Goodland </t>
  </si>
  <si>
    <t xml:space="preserve">Wellington </t>
  </si>
  <si>
    <t xml:space="preserve">Ellinwood Public Schools </t>
  </si>
  <si>
    <t xml:space="preserve">Conway Springs </t>
  </si>
  <si>
    <t xml:space="preserve">Belle Plaine </t>
  </si>
  <si>
    <t xml:space="preserve">Oxford </t>
  </si>
  <si>
    <t xml:space="preserve">Argonia Public Schools </t>
  </si>
  <si>
    <t xml:space="preserve">Caldwell </t>
  </si>
  <si>
    <t xml:space="preserve">Anthony-Harper </t>
  </si>
  <si>
    <t xml:space="preserve">Prairie View </t>
  </si>
  <si>
    <t xml:space="preserve">Holcomb </t>
  </si>
  <si>
    <t xml:space="preserve">Marysville </t>
  </si>
  <si>
    <t xml:space="preserve">Garnett </t>
  </si>
  <si>
    <t xml:space="preserve">Woodson </t>
  </si>
  <si>
    <t xml:space="preserve">Osawatomie </t>
  </si>
  <si>
    <t xml:space="preserve">Paola </t>
  </si>
  <si>
    <t xml:space="preserve">Burrton </t>
  </si>
  <si>
    <t xml:space="preserve">Montezuma </t>
  </si>
  <si>
    <t xml:space="preserve">Silver Lake </t>
  </si>
  <si>
    <t xml:space="preserve">Newton </t>
  </si>
  <si>
    <t xml:space="preserve">Sublette </t>
  </si>
  <si>
    <t xml:space="preserve">Circle </t>
  </si>
  <si>
    <t xml:space="preserve">Sterling </t>
  </si>
  <si>
    <t xml:space="preserve">Atchison Co Comm Schools </t>
  </si>
  <si>
    <t xml:space="preserve">Riley County </t>
  </si>
  <si>
    <t xml:space="preserve">Clay Center </t>
  </si>
  <si>
    <t xml:space="preserve">Vermillion </t>
  </si>
  <si>
    <t xml:space="preserve">Spearville </t>
  </si>
  <si>
    <t xml:space="preserve">Pratt </t>
  </si>
  <si>
    <t xml:space="preserve">Manhattan-Ogden </t>
  </si>
  <si>
    <t xml:space="preserve">Andover </t>
  </si>
  <si>
    <t xml:space="preserve">Madison-Virgil </t>
  </si>
  <si>
    <t xml:space="preserve">Altoona-Midway </t>
  </si>
  <si>
    <t xml:space="preserve">Ellis </t>
  </si>
  <si>
    <t xml:space="preserve">Eureka </t>
  </si>
  <si>
    <t xml:space="preserve">Hamilton </t>
  </si>
  <si>
    <t xml:space="preserve">Osborne County </t>
  </si>
  <si>
    <t xml:space="preserve">Solomon </t>
  </si>
  <si>
    <t xml:space="preserve">Rose Hill Public Schools </t>
  </si>
  <si>
    <t xml:space="preserve">LaCrosse </t>
  </si>
  <si>
    <t xml:space="preserve">Douglass Public Schools </t>
  </si>
  <si>
    <t xml:space="preserve">Centre </t>
  </si>
  <si>
    <t xml:space="preserve">Peabody-Burns </t>
  </si>
  <si>
    <t xml:space="preserve">Paradise </t>
  </si>
  <si>
    <t xml:space="preserve">Smoky Valley </t>
  </si>
  <si>
    <t xml:space="preserve">Chase-Raymond </t>
  </si>
  <si>
    <t xml:space="preserve">Augusta </t>
  </si>
  <si>
    <t xml:space="preserve">Otis-Bison </t>
  </si>
  <si>
    <t xml:space="preserve">Riverton </t>
  </si>
  <si>
    <t xml:space="preserve">Lyons </t>
  </si>
  <si>
    <t xml:space="preserve">Russell County </t>
  </si>
  <si>
    <t xml:space="preserve">Marion-Florence </t>
  </si>
  <si>
    <t xml:space="preserve">Atchison Public Schools </t>
  </si>
  <si>
    <t xml:space="preserve">Durham-Hillsboro-Lehigh </t>
  </si>
  <si>
    <t xml:space="preserve">Goessel </t>
  </si>
  <si>
    <t xml:space="preserve">Hoxie Community Schools </t>
  </si>
  <si>
    <t xml:space="preserve">Chanute Public Schools </t>
  </si>
  <si>
    <t xml:space="preserve">Hiawatha </t>
  </si>
  <si>
    <t xml:space="preserve">Louisburg </t>
  </si>
  <si>
    <t xml:space="preserve">Morris County </t>
  </si>
  <si>
    <t xml:space="preserve">McPherson </t>
  </si>
  <si>
    <t xml:space="preserve">Canton-Galva </t>
  </si>
  <si>
    <t xml:space="preserve">Osage City </t>
  </si>
  <si>
    <t xml:space="preserve">Lyndon </t>
  </si>
  <si>
    <t xml:space="preserve">Kiowa County </t>
  </si>
  <si>
    <t xml:space="preserve">Moundridge </t>
  </si>
  <si>
    <t xml:space="preserve">Pike Valley </t>
  </si>
  <si>
    <t xml:space="preserve">Great Bend </t>
  </si>
  <si>
    <t xml:space="preserve">Troy Public Schools </t>
  </si>
  <si>
    <t xml:space="preserve">South Brown County </t>
  </si>
  <si>
    <t xml:space="preserve">Hoisington </t>
  </si>
  <si>
    <t xml:space="preserve">Victoria </t>
  </si>
  <si>
    <t xml:space="preserve">Santa Fe Trail </t>
  </si>
  <si>
    <t xml:space="preserve">Abilene </t>
  </si>
  <si>
    <t xml:space="preserve">Caney Valley </t>
  </si>
  <si>
    <t xml:space="preserve">Auburn Washburn </t>
  </si>
  <si>
    <t xml:space="preserve">Skyline Schools </t>
  </si>
  <si>
    <t xml:space="preserve">Sedgwick Public Schools </t>
  </si>
  <si>
    <t xml:space="preserve">Halstead </t>
  </si>
  <si>
    <t xml:space="preserve">Dodge City </t>
  </si>
  <si>
    <t xml:space="preserve">Little River </t>
  </si>
  <si>
    <t xml:space="preserve">Coffeyville </t>
  </si>
  <si>
    <t xml:space="preserve">Independence </t>
  </si>
  <si>
    <t xml:space="preserve">Cherryvale </t>
  </si>
  <si>
    <t xml:space="preserve">Inman </t>
  </si>
  <si>
    <t xml:space="preserve">Easton </t>
  </si>
  <si>
    <t xml:space="preserve">Shawnee Heights </t>
  </si>
  <si>
    <t xml:space="preserve">Stanton County </t>
  </si>
  <si>
    <t xml:space="preserve">Leavenworth </t>
  </si>
  <si>
    <t xml:space="preserve">Burlingame Public School </t>
  </si>
  <si>
    <t xml:space="preserve">Marais Des Cygnes Valley </t>
  </si>
  <si>
    <t xml:space="preserve">Garden City </t>
  </si>
  <si>
    <t xml:space="preserve">Basehor-Linwood </t>
  </si>
  <si>
    <t xml:space="preserve">Bucklin </t>
  </si>
  <si>
    <t xml:space="preserve">Hesston </t>
  </si>
  <si>
    <t xml:space="preserve">Neodesha </t>
  </si>
  <si>
    <t xml:space="preserve">Central </t>
  </si>
  <si>
    <t xml:space="preserve">Udall </t>
  </si>
  <si>
    <t xml:space="preserve">Tonganoxie </t>
  </si>
  <si>
    <t xml:space="preserve">Winfield </t>
  </si>
  <si>
    <t xml:space="preserve">Scott County </t>
  </si>
  <si>
    <t xml:space="preserve">Leoti </t>
  </si>
  <si>
    <t xml:space="preserve">Healy Public Schools </t>
  </si>
  <si>
    <t xml:space="preserve">Lansing </t>
  </si>
  <si>
    <t xml:space="preserve">Arkansas City </t>
  </si>
  <si>
    <t xml:space="preserve">Dexter </t>
  </si>
  <si>
    <t xml:space="preserve">Chapman </t>
  </si>
  <si>
    <t xml:space="preserve">Haviland </t>
  </si>
  <si>
    <t xml:space="preserve">Geary County Schools </t>
  </si>
  <si>
    <t xml:space="preserve">Copeland </t>
  </si>
  <si>
    <t xml:space="preserve">Ingalls </t>
  </si>
  <si>
    <t xml:space="preserve">Crest </t>
  </si>
  <si>
    <t xml:space="preserve">Liberal </t>
  </si>
  <si>
    <t xml:space="preserve">Rural Vista </t>
  </si>
  <si>
    <t xml:space="preserve">Dighton </t>
  </si>
  <si>
    <t xml:space="preserve">Kismet-Plains </t>
  </si>
  <si>
    <t xml:space="preserve">Fredonia </t>
  </si>
  <si>
    <t xml:space="preserve">Herington </t>
  </si>
  <si>
    <t xml:space="preserve">Hays </t>
  </si>
  <si>
    <t xml:space="preserve">El Dorado </t>
  </si>
  <si>
    <t xml:space="preserve">Eudora </t>
  </si>
  <si>
    <t xml:space="preserve">Flinthills </t>
  </si>
  <si>
    <t xml:space="preserve">Columbus </t>
  </si>
  <si>
    <t xml:space="preserve">Syracuse </t>
  </si>
  <si>
    <t xml:space="preserve">Ft Larned </t>
  </si>
  <si>
    <t xml:space="preserve">Pawnee Heights </t>
  </si>
  <si>
    <t xml:space="preserve">Lawrence </t>
  </si>
  <si>
    <t xml:space="preserve">Valley Heights </t>
  </si>
  <si>
    <t xml:space="preserve">Galena </t>
  </si>
  <si>
    <t xml:space="preserve">Kansas City </t>
  </si>
  <si>
    <t xml:space="preserve">Topeka Public Schools </t>
  </si>
  <si>
    <t xml:space="preserve">Lewis </t>
  </si>
  <si>
    <t xml:space="preserve">Parsons </t>
  </si>
  <si>
    <t xml:space="preserve">Oswego </t>
  </si>
  <si>
    <t xml:space="preserve">Chetopa-St. Paul </t>
  </si>
  <si>
    <t xml:space="preserve">Labette County </t>
  </si>
  <si>
    <t xml:space="preserve">Satanta </t>
  </si>
  <si>
    <t xml:space="preserve">Baxter Springs </t>
  </si>
  <si>
    <t xml:space="preserve">South Haven </t>
  </si>
  <si>
    <t xml:space="preserve">Attica </t>
  </si>
  <si>
    <t>Milt 4 Year</t>
  </si>
  <si>
    <t>Milt 4 Yr</t>
  </si>
  <si>
    <t>Shawnee Mission Pub Sch</t>
  </si>
  <si>
    <t>Min Cost</t>
  </si>
  <si>
    <t>Adopt</t>
  </si>
  <si>
    <t>Dup Test</t>
  </si>
  <si>
    <t>STATE TOTALS</t>
  </si>
  <si>
    <t>Sped for LOB</t>
  </si>
  <si>
    <t>Transp A</t>
  </si>
  <si>
    <t>Transp B</t>
  </si>
  <si>
    <t>Transp %</t>
  </si>
  <si>
    <t>Weightings</t>
  </si>
  <si>
    <t>Free Lunch &gt;=35% &lt;50%</t>
  </si>
  <si>
    <t>Milt 4 Total</t>
  </si>
  <si>
    <t>Repub Check</t>
  </si>
  <si>
    <t>Potential Military District</t>
  </si>
  <si>
    <t>Missing Republication Docs</t>
  </si>
  <si>
    <r>
      <t xml:space="preserve">Virtual FTE (Info Only) </t>
    </r>
    <r>
      <rPr>
        <b/>
        <sz val="10"/>
        <rFont val="Arial Narrow"/>
        <family val="2"/>
      </rPr>
      <t>9/20/13</t>
    </r>
  </si>
  <si>
    <r>
      <rPr>
        <b/>
        <sz val="10"/>
        <rFont val="Arial Narrow"/>
        <family val="2"/>
      </rPr>
      <t>2012-13</t>
    </r>
    <r>
      <rPr>
        <sz val="10"/>
        <rFont val="Arial Narrow"/>
        <family val="2"/>
      </rPr>
      <t xml:space="preserve"> Non-Proficient Headcount</t>
    </r>
  </si>
  <si>
    <r>
      <rPr>
        <b/>
        <sz val="10"/>
        <rFont val="Arial Narrow"/>
        <family val="2"/>
      </rPr>
      <t xml:space="preserve">FY 14 </t>
    </r>
    <r>
      <rPr>
        <sz val="10"/>
        <rFont val="Arial Narrow"/>
        <family val="2"/>
      </rPr>
      <t>Spec Ed State Aid</t>
    </r>
  </si>
  <si>
    <r>
      <rPr>
        <b/>
        <sz val="10"/>
        <rFont val="Arial Narrow"/>
        <family val="2"/>
      </rPr>
      <t>2013-14</t>
    </r>
    <r>
      <rPr>
        <sz val="10"/>
        <rFont val="Arial Narrow"/>
        <family val="2"/>
      </rPr>
      <t xml:space="preserve"> Subtotal Weighted FTE (exc Spec Ed)</t>
    </r>
  </si>
  <si>
    <r>
      <rPr>
        <b/>
        <sz val="10"/>
        <rFont val="Arial Narrow"/>
        <family val="2"/>
      </rPr>
      <t>2013-14</t>
    </r>
    <r>
      <rPr>
        <sz val="10"/>
        <rFont val="Arial Narrow"/>
        <family val="2"/>
      </rPr>
      <t xml:space="preserve"> Total Weighted FTE</t>
    </r>
  </si>
  <si>
    <r>
      <rPr>
        <b/>
        <sz val="10"/>
        <rFont val="Arial Narrow"/>
        <family val="2"/>
      </rPr>
      <t>2013-14</t>
    </r>
    <r>
      <rPr>
        <sz val="10"/>
        <rFont val="Arial Narrow"/>
        <family val="2"/>
      </rPr>
      <t xml:space="preserve"> Subtotal Weighted FTE (exc COL)</t>
    </r>
  </si>
  <si>
    <r>
      <rPr>
        <b/>
        <sz val="10"/>
        <rFont val="Arial Narrow"/>
        <family val="2"/>
      </rPr>
      <t>2013-14</t>
    </r>
    <r>
      <rPr>
        <sz val="10"/>
        <rFont val="Arial Narrow"/>
        <family val="2"/>
      </rPr>
      <t xml:space="preserve"> General Fund (Before reductions)</t>
    </r>
  </si>
  <si>
    <r>
      <rPr>
        <b/>
        <sz val="10"/>
        <rFont val="Arial Narrow"/>
        <family val="2"/>
      </rPr>
      <t>2012-13</t>
    </r>
    <r>
      <rPr>
        <sz val="10"/>
        <rFont val="Arial Narrow"/>
        <family val="2"/>
      </rPr>
      <t xml:space="preserve"> Bilingual Vocational At-Risk   Audit Adj</t>
    </r>
  </si>
  <si>
    <r>
      <rPr>
        <b/>
        <sz val="10"/>
        <rFont val="Arial Narrow"/>
        <family val="2"/>
      </rPr>
      <t>2013-14</t>
    </r>
    <r>
      <rPr>
        <sz val="10"/>
        <rFont val="Arial Narrow"/>
        <family val="2"/>
      </rPr>
      <t xml:space="preserve"> Adjusted Legal General Fund Budget</t>
    </r>
  </si>
  <si>
    <r>
      <rPr>
        <b/>
        <sz val="10"/>
        <rFont val="Arial Narrow"/>
        <family val="2"/>
      </rPr>
      <t>2012-13</t>
    </r>
    <r>
      <rPr>
        <sz val="10"/>
        <rFont val="Arial Narrow"/>
        <family val="2"/>
      </rPr>
      <t xml:space="preserve"> Total Reduction</t>
    </r>
  </si>
  <si>
    <r>
      <rPr>
        <b/>
        <sz val="10"/>
        <rFont val="Arial Narrow"/>
        <family val="2"/>
      </rPr>
      <t>2012-13</t>
    </r>
    <r>
      <rPr>
        <sz val="10"/>
        <rFont val="Arial Narrow"/>
        <family val="2"/>
      </rPr>
      <t xml:space="preserve"> Trans Audit Adjust</t>
    </r>
  </si>
  <si>
    <r>
      <rPr>
        <b/>
        <sz val="10"/>
        <rFont val="Arial Narrow"/>
        <family val="2"/>
      </rPr>
      <t>2013-14</t>
    </r>
    <r>
      <rPr>
        <sz val="10"/>
        <rFont val="Arial Narrow"/>
        <family val="2"/>
      </rPr>
      <t xml:space="preserve"> LOB Authorized Percent</t>
    </r>
  </si>
  <si>
    <r>
      <rPr>
        <b/>
        <sz val="10"/>
        <rFont val="Arial Narrow"/>
        <family val="2"/>
      </rPr>
      <t>2013-14</t>
    </r>
    <r>
      <rPr>
        <sz val="10"/>
        <rFont val="Arial Narrow"/>
        <family val="2"/>
      </rPr>
      <t xml:space="preserve"> Percent of Free Lunch </t>
    </r>
    <r>
      <rPr>
        <b/>
        <sz val="10"/>
        <rFont val="Arial Narrow"/>
        <family val="2"/>
      </rPr>
      <t>(Current Year)</t>
    </r>
  </si>
  <si>
    <r>
      <t xml:space="preserve">FTE Enroll (inc 4 yr old at-risk exc virtual) </t>
    </r>
    <r>
      <rPr>
        <b/>
        <sz val="10"/>
        <rFont val="Arial Narrow"/>
        <family val="2"/>
      </rPr>
      <t>9/20/2013</t>
    </r>
  </si>
  <si>
    <r>
      <t xml:space="preserve">FTE Enroll (inc 4 yr old at-risk inc virtual) </t>
    </r>
    <r>
      <rPr>
        <b/>
        <sz val="10"/>
        <rFont val="Arial Narrow"/>
        <family val="2"/>
      </rPr>
      <t>9/20/2013</t>
    </r>
  </si>
  <si>
    <r>
      <t xml:space="preserve">FTE Enroll (inc 4 yr old at-risk inc virtual inc 2/20) </t>
    </r>
    <r>
      <rPr>
        <b/>
        <sz val="10"/>
        <rFont val="Arial Narrow"/>
        <family val="2"/>
      </rPr>
      <t>9/20/2013</t>
    </r>
  </si>
  <si>
    <r>
      <t xml:space="preserve">FTE Enroll (exc 4 yr old at-risk) </t>
    </r>
    <r>
      <rPr>
        <b/>
        <sz val="10"/>
        <rFont val="Arial Narrow"/>
        <family val="2"/>
      </rPr>
      <t>2/20/2014</t>
    </r>
  </si>
  <si>
    <r>
      <t xml:space="preserve">FTE Enroll (exc 4 yr old at-risk &amp; virtual) </t>
    </r>
    <r>
      <rPr>
        <b/>
        <sz val="10"/>
        <rFont val="Arial Narrow"/>
        <family val="2"/>
      </rPr>
      <t>9/20/2012</t>
    </r>
  </si>
  <si>
    <r>
      <t xml:space="preserve">FTE Enroll (exc 4 yr old at-risk &amp; virtual) </t>
    </r>
    <r>
      <rPr>
        <b/>
        <sz val="10"/>
        <rFont val="Arial Narrow"/>
        <family val="2"/>
      </rPr>
      <t>2/20/2013</t>
    </r>
  </si>
  <si>
    <r>
      <t xml:space="preserve">FTE Enroll (exc 4 yr old at-risk exc virtual) </t>
    </r>
    <r>
      <rPr>
        <b/>
        <sz val="10"/>
        <rFont val="Arial Narrow"/>
        <family val="2"/>
      </rPr>
      <t>9/20/2012 2/20/2013</t>
    </r>
  </si>
  <si>
    <r>
      <t xml:space="preserve">FTE Enroll (exc 4 yr old at-risk inc virtual) </t>
    </r>
    <r>
      <rPr>
        <b/>
        <sz val="10"/>
        <rFont val="Arial Narrow"/>
        <family val="2"/>
      </rPr>
      <t>9/20/2013</t>
    </r>
  </si>
  <si>
    <r>
      <t xml:space="preserve">FTE Enroll (exc 4 yr old at-risk exc virtual) </t>
    </r>
    <r>
      <rPr>
        <b/>
        <sz val="10"/>
        <rFont val="Arial Narrow"/>
        <family val="2"/>
      </rPr>
      <t>9/20/2013</t>
    </r>
  </si>
  <si>
    <t>CTE Contact Hrs</t>
  </si>
  <si>
    <t>CTE Weighted FTE</t>
  </si>
  <si>
    <t>Virtual FTE 9/20/2013</t>
  </si>
  <si>
    <t>9/10/2013 Weighting</t>
  </si>
  <si>
    <t>10-6-14 Revised LM -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</si>
</sst>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"/>
    <numFmt numFmtId="165" formatCode=".0000"/>
    <numFmt numFmtId="166" formatCode=".000"/>
    <numFmt numFmtId="167" formatCode=".000000"/>
    <numFmt numFmtId="168" formatCode="0.0"/>
    <numFmt numFmtId="169" formatCode="#,##0.0000"/>
    <numFmt numFmtId="170" formatCode="#,##0.0_);[Red]\(#,##0.0\)"/>
    <numFmt numFmtId="171" formatCode="0.0%"/>
    <numFmt numFmtId="172" formatCode="#,##0;\-#,##0;;@"/>
    <numFmt numFmtId="173" formatCode="0.00000"/>
    <numFmt numFmtId="174" formatCode="0.000"/>
    <numFmt numFmtId="175" formatCode="0.000000"/>
  </numFmts>
  <fonts count="5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20"/>
      <name val="Arial Narrow"/>
      <family val="2"/>
    </font>
    <font>
      <sz val="10"/>
      <color rgb="FF00B050"/>
      <name val="Arial Narrow"/>
      <family val="2"/>
    </font>
    <font>
      <sz val="10"/>
      <color theme="1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0"/>
      <name val="Calibri"/>
      <family val="2"/>
    </font>
    <font>
      <u/>
      <sz val="10"/>
      <color indexed="12"/>
      <name val="Geneva"/>
    </font>
    <font>
      <u/>
      <sz val="10"/>
      <color indexed="12"/>
      <name val="Arial"/>
      <family val="2"/>
    </font>
    <font>
      <u/>
      <sz val="11"/>
      <color theme="10"/>
      <name val="Times New Roman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gradientFill>
        <stop position="0">
          <color rgb="FF00B0F0"/>
        </stop>
        <stop position="1">
          <color theme="0"/>
        </stop>
      </gradient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gradientFill>
        <stop position="0">
          <color rgb="FFFFC000"/>
        </stop>
        <stop position="1">
          <color rgb="FFFFFF00"/>
        </stop>
      </gradientFill>
    </fill>
    <fill>
      <gradientFill degree="45"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3" tint="0.79998168889431442"/>
        <bgColor indexed="64"/>
      </patternFill>
    </fill>
    <fill>
      <gradientFill degree="45">
        <stop position="0">
          <color rgb="FFFF0000"/>
        </stop>
        <stop position="1">
          <color theme="0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27">
    <xf numFmtId="0" fontId="0" fillId="0" borderId="0"/>
    <xf numFmtId="40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17" applyNumberFormat="0" applyAlignment="0" applyProtection="0"/>
    <xf numFmtId="0" fontId="19" fillId="10" borderId="18" applyNumberFormat="0" applyAlignment="0" applyProtection="0"/>
    <xf numFmtId="0" fontId="20" fillId="10" borderId="17" applyNumberFormat="0" applyAlignment="0" applyProtection="0"/>
    <xf numFmtId="0" fontId="21" fillId="0" borderId="19" applyNumberFormat="0" applyFill="0" applyAlignment="0" applyProtection="0"/>
    <xf numFmtId="0" fontId="22" fillId="11" borderId="2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6" fillId="36" borderId="0" applyNumberFormat="0" applyBorder="0" applyAlignment="0" applyProtection="0"/>
    <xf numFmtId="0" fontId="6" fillId="0" borderId="0"/>
    <xf numFmtId="0" fontId="6" fillId="12" borderId="21" applyNumberFormat="0" applyFont="0" applyAlignment="0" applyProtection="0"/>
    <xf numFmtId="0" fontId="27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7" fillId="0" borderId="0"/>
    <xf numFmtId="40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1" fillId="0" borderId="0"/>
    <xf numFmtId="0" fontId="40" fillId="0" borderId="0"/>
    <xf numFmtId="0" fontId="39" fillId="0" borderId="0"/>
    <xf numFmtId="0" fontId="5" fillId="0" borderId="0"/>
    <xf numFmtId="0" fontId="5" fillId="12" borderId="21" applyNumberFormat="0" applyFont="0" applyAlignment="0" applyProtection="0"/>
    <xf numFmtId="0" fontId="40" fillId="0" borderId="0"/>
    <xf numFmtId="43" fontId="39" fillId="0" borderId="0" applyFont="0" applyFill="0" applyBorder="0" applyAlignment="0" applyProtection="0"/>
    <xf numFmtId="0" fontId="27" fillId="0" borderId="0"/>
    <xf numFmtId="0" fontId="5" fillId="0" borderId="0"/>
    <xf numFmtId="0" fontId="27" fillId="0" borderId="0"/>
    <xf numFmtId="0" fontId="40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2" borderId="21" applyNumberFormat="0" applyFont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2" borderId="21" applyNumberFormat="0" applyFont="0" applyAlignment="0" applyProtection="0"/>
    <xf numFmtId="0" fontId="4" fillId="0" borderId="0"/>
    <xf numFmtId="0" fontId="27" fillId="0" borderId="0"/>
    <xf numFmtId="8" fontId="7" fillId="0" borderId="0" applyFont="0" applyFill="0" applyBorder="0" applyAlignment="0" applyProtection="0"/>
    <xf numFmtId="0" fontId="7" fillId="0" borderId="0"/>
    <xf numFmtId="0" fontId="27" fillId="0" borderId="0" applyBorder="0"/>
    <xf numFmtId="0" fontId="4" fillId="0" borderId="0"/>
    <xf numFmtId="40" fontId="7" fillId="0" borderId="0" applyFont="0" applyFill="0" applyBorder="0" applyAlignment="0" applyProtection="0"/>
    <xf numFmtId="0" fontId="7" fillId="0" borderId="0"/>
    <xf numFmtId="40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39" fillId="0" borderId="0"/>
    <xf numFmtId="43" fontId="39" fillId="0" borderId="0" applyFont="0" applyFill="0" applyBorder="0" applyAlignment="0" applyProtection="0"/>
    <xf numFmtId="0" fontId="27" fillId="0" borderId="0"/>
    <xf numFmtId="0" fontId="4" fillId="0" borderId="0"/>
    <xf numFmtId="0" fontId="42" fillId="12" borderId="21" applyNumberFormat="0" applyFont="0" applyAlignment="0" applyProtection="0"/>
    <xf numFmtId="9" fontId="7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1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27" fillId="0" borderId="0" applyBorder="0"/>
    <xf numFmtId="0" fontId="27" fillId="0" borderId="0" applyBorder="0"/>
    <xf numFmtId="0" fontId="42" fillId="12" borderId="21" applyNumberFormat="0" applyFont="0" applyAlignment="0" applyProtection="0"/>
    <xf numFmtId="0" fontId="27" fillId="0" borderId="0"/>
    <xf numFmtId="0" fontId="7" fillId="0" borderId="0"/>
    <xf numFmtId="43" fontId="43" fillId="0" borderId="0" applyFont="0" applyFill="0" applyBorder="0" applyAlignment="0" applyProtection="0"/>
    <xf numFmtId="0" fontId="27" fillId="0" borderId="0" applyBorder="0"/>
    <xf numFmtId="0" fontId="4" fillId="0" borderId="0"/>
    <xf numFmtId="40" fontId="7" fillId="0" borderId="0" applyFont="0" applyFill="0" applyBorder="0" applyAlignment="0" applyProtection="0"/>
    <xf numFmtId="0" fontId="27" fillId="0" borderId="0"/>
    <xf numFmtId="0" fontId="39" fillId="0" borderId="0"/>
    <xf numFmtId="0" fontId="42" fillId="12" borderId="21" applyNumberFormat="0" applyFont="0" applyAlignment="0" applyProtection="0"/>
    <xf numFmtId="0" fontId="4" fillId="12" borderId="21" applyNumberFormat="0" applyFont="0" applyAlignment="0" applyProtection="0"/>
    <xf numFmtId="0" fontId="27" fillId="0" borderId="0"/>
    <xf numFmtId="0" fontId="4" fillId="0" borderId="0"/>
    <xf numFmtId="0" fontId="4" fillId="0" borderId="0"/>
    <xf numFmtId="0" fontId="47" fillId="0" borderId="0" applyNumberFormat="0" applyFill="0" applyBorder="0" applyAlignment="0" applyProtection="0"/>
    <xf numFmtId="0" fontId="27" fillId="0" borderId="0"/>
    <xf numFmtId="0" fontId="42" fillId="12" borderId="21" applyNumberFormat="0" applyFont="0" applyAlignment="0" applyProtection="0"/>
    <xf numFmtId="0" fontId="42" fillId="12" borderId="21" applyNumberFormat="0" applyFont="0" applyAlignment="0" applyProtection="0"/>
    <xf numFmtId="43" fontId="39" fillId="0" borderId="0" applyFont="0" applyFill="0" applyBorder="0" applyAlignment="0" applyProtection="0"/>
    <xf numFmtId="0" fontId="27" fillId="0" borderId="0" applyBorder="0"/>
    <xf numFmtId="43" fontId="40" fillId="0" borderId="0" applyFont="0" applyFill="0" applyBorder="0" applyAlignment="0" applyProtection="0"/>
    <xf numFmtId="43" fontId="43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21" applyNumberFormat="0" applyFont="0" applyAlignment="0" applyProtection="0"/>
    <xf numFmtId="0" fontId="4" fillId="0" borderId="0"/>
    <xf numFmtId="0" fontId="4" fillId="0" borderId="0"/>
    <xf numFmtId="0" fontId="4" fillId="12" borderId="21" applyNumberFormat="0" applyFont="0" applyAlignment="0" applyProtection="0"/>
    <xf numFmtId="0" fontId="27" fillId="0" borderId="0"/>
    <xf numFmtId="43" fontId="43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39" fillId="0" borderId="0"/>
    <xf numFmtId="0" fontId="40" fillId="0" borderId="0"/>
    <xf numFmtId="0" fontId="27" fillId="0" borderId="0"/>
    <xf numFmtId="0" fontId="4" fillId="0" borderId="0"/>
    <xf numFmtId="0" fontId="27" fillId="0" borderId="0"/>
    <xf numFmtId="0" fontId="40" fillId="0" borderId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27" fillId="0" borderId="0" applyBorder="0"/>
    <xf numFmtId="0" fontId="42" fillId="12" borderId="21" applyNumberFormat="0" applyFont="0" applyAlignment="0" applyProtection="0"/>
    <xf numFmtId="0" fontId="42" fillId="12" borderId="21" applyNumberFormat="0" applyFont="0" applyAlignment="0" applyProtection="0"/>
    <xf numFmtId="0" fontId="7" fillId="0" borderId="0"/>
    <xf numFmtId="40" fontId="7" fillId="0" borderId="0" applyFont="0" applyFill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1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1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1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2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1" applyNumberFormat="0" applyFont="0" applyAlignment="0" applyProtection="0"/>
    <xf numFmtId="0" fontId="3" fillId="0" borderId="0"/>
    <xf numFmtId="0" fontId="3" fillId="0" borderId="0"/>
    <xf numFmtId="0" fontId="3" fillId="12" borderId="21" applyNumberFormat="0" applyFont="0" applyAlignment="0" applyProtection="0"/>
    <xf numFmtId="0" fontId="3" fillId="0" borderId="0"/>
    <xf numFmtId="0" fontId="3" fillId="0" borderId="0"/>
    <xf numFmtId="0" fontId="2" fillId="0" borderId="0"/>
    <xf numFmtId="0" fontId="2" fillId="12" borderId="21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</cellStyleXfs>
  <cellXfs count="228">
    <xf numFmtId="0" fontId="0" fillId="0" borderId="0" xfId="0"/>
    <xf numFmtId="164" fontId="8" fillId="0" borderId="0" xfId="0" applyNumberFormat="1" applyFont="1" applyFill="1" applyProtection="1"/>
    <xf numFmtId="3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Protection="1"/>
    <xf numFmtId="166" fontId="8" fillId="0" borderId="0" xfId="0" applyNumberFormat="1" applyFont="1" applyFill="1" applyProtection="1"/>
    <xf numFmtId="167" fontId="8" fillId="0" borderId="0" xfId="0" applyNumberFormat="1" applyFont="1" applyFill="1" applyProtection="1"/>
    <xf numFmtId="4" fontId="8" fillId="0" borderId="0" xfId="0" applyNumberFormat="1" applyFont="1" applyFill="1" applyProtection="1"/>
    <xf numFmtId="165" fontId="8" fillId="0" borderId="0" xfId="0" applyNumberFormat="1" applyFont="1" applyFill="1" applyProtection="1"/>
    <xf numFmtId="164" fontId="8" fillId="3" borderId="0" xfId="0" applyNumberFormat="1" applyFont="1" applyFill="1" applyProtection="1"/>
    <xf numFmtId="164" fontId="29" fillId="0" borderId="0" xfId="0" applyNumberFormat="1" applyFont="1" applyFill="1" applyProtection="1"/>
    <xf numFmtId="164" fontId="31" fillId="0" borderId="0" xfId="0" applyNumberFormat="1" applyFont="1" applyFill="1" applyProtection="1"/>
    <xf numFmtId="0" fontId="33" fillId="0" borderId="0" xfId="0" applyFont="1"/>
    <xf numFmtId="0" fontId="33" fillId="4" borderId="6" xfId="0" applyFont="1" applyFill="1" applyBorder="1"/>
    <xf numFmtId="0" fontId="33" fillId="4" borderId="5" xfId="0" applyFont="1" applyFill="1" applyBorder="1"/>
    <xf numFmtId="0" fontId="34" fillId="4" borderId="0" xfId="0" applyFont="1" applyFill="1" applyBorder="1" applyAlignment="1">
      <alignment horizontal="center"/>
    </xf>
    <xf numFmtId="0" fontId="34" fillId="4" borderId="6" xfId="0" applyFont="1" applyFill="1" applyBorder="1" applyAlignment="1">
      <alignment horizontal="center"/>
    </xf>
    <xf numFmtId="6" fontId="33" fillId="4" borderId="0" xfId="2" applyNumberFormat="1" applyFont="1" applyFill="1" applyBorder="1"/>
    <xf numFmtId="6" fontId="33" fillId="4" borderId="1" xfId="2" applyNumberFormat="1" applyFont="1" applyFill="1" applyBorder="1"/>
    <xf numFmtId="0" fontId="33" fillId="4" borderId="5" xfId="0" applyFont="1" applyFill="1" applyBorder="1" applyAlignment="1">
      <alignment horizontal="right"/>
    </xf>
    <xf numFmtId="6" fontId="33" fillId="4" borderId="0" xfId="0" applyNumberFormat="1" applyFont="1" applyFill="1" applyBorder="1"/>
    <xf numFmtId="6" fontId="35" fillId="4" borderId="0" xfId="2" applyNumberFormat="1" applyFont="1" applyFill="1" applyBorder="1"/>
    <xf numFmtId="6" fontId="33" fillId="4" borderId="1" xfId="0" applyNumberFormat="1" applyFont="1" applyFill="1" applyBorder="1"/>
    <xf numFmtId="6" fontId="35" fillId="4" borderId="1" xfId="2" applyNumberFormat="1" applyFont="1" applyFill="1" applyBorder="1"/>
    <xf numFmtId="0" fontId="33" fillId="4" borderId="7" xfId="0" applyFont="1" applyFill="1" applyBorder="1"/>
    <xf numFmtId="0" fontId="33" fillId="4" borderId="8" xfId="0" applyFont="1" applyFill="1" applyBorder="1"/>
    <xf numFmtId="0" fontId="33" fillId="4" borderId="9" xfId="0" applyFont="1" applyFill="1" applyBorder="1"/>
    <xf numFmtId="3" fontId="33" fillId="4" borderId="0" xfId="0" applyNumberFormat="1" applyFont="1" applyFill="1" applyBorder="1"/>
    <xf numFmtId="3" fontId="33" fillId="4" borderId="1" xfId="0" applyNumberFormat="1" applyFont="1" applyFill="1" applyBorder="1"/>
    <xf numFmtId="0" fontId="33" fillId="4" borderId="0" xfId="0" applyFont="1" applyFill="1" applyBorder="1" applyAlignment="1">
      <alignment horizontal="right"/>
    </xf>
    <xf numFmtId="3" fontId="35" fillId="4" borderId="0" xfId="0" applyNumberFormat="1" applyFont="1" applyFill="1" applyBorder="1"/>
    <xf numFmtId="3" fontId="35" fillId="4" borderId="1" xfId="0" applyNumberFormat="1" applyFont="1" applyFill="1" applyBorder="1"/>
    <xf numFmtId="0" fontId="33" fillId="0" borderId="5" xfId="0" applyFont="1" applyBorder="1"/>
    <xf numFmtId="0" fontId="33" fillId="0" borderId="6" xfId="0" applyFont="1" applyBorder="1"/>
    <xf numFmtId="0" fontId="34" fillId="0" borderId="0" xfId="0" applyFont="1" applyBorder="1" applyAlignment="1">
      <alignment horizontal="center"/>
    </xf>
    <xf numFmtId="3" fontId="33" fillId="0" borderId="0" xfId="0" applyNumberFormat="1" applyFont="1" applyBorder="1"/>
    <xf numFmtId="3" fontId="33" fillId="0" borderId="1" xfId="0" applyNumberFormat="1" applyFont="1" applyBorder="1"/>
    <xf numFmtId="0" fontId="33" fillId="0" borderId="5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3" fontId="35" fillId="0" borderId="0" xfId="0" applyNumberFormat="1" applyFont="1" applyBorder="1"/>
    <xf numFmtId="3" fontId="35" fillId="0" borderId="1" xfId="0" applyNumberFormat="1" applyFont="1" applyBorder="1"/>
    <xf numFmtId="0" fontId="33" fillId="0" borderId="7" xfId="0" applyFont="1" applyBorder="1" applyAlignment="1">
      <alignment horizontal="right"/>
    </xf>
    <xf numFmtId="3" fontId="33" fillId="0" borderId="8" xfId="0" applyNumberFormat="1" applyFont="1" applyBorder="1"/>
    <xf numFmtId="0" fontId="33" fillId="0" borderId="8" xfId="0" applyFont="1" applyBorder="1"/>
    <xf numFmtId="0" fontId="33" fillId="0" borderId="9" xfId="0" applyFont="1" applyBorder="1"/>
    <xf numFmtId="0" fontId="33" fillId="0" borderId="8" xfId="0" applyFont="1" applyBorder="1" applyAlignment="1">
      <alignment horizontal="right"/>
    </xf>
    <xf numFmtId="0" fontId="33" fillId="0" borderId="7" xfId="0" applyFont="1" applyBorder="1"/>
    <xf numFmtId="0" fontId="34" fillId="0" borderId="6" xfId="0" applyFont="1" applyBorder="1" applyAlignment="1">
      <alignment horizontal="center"/>
    </xf>
    <xf numFmtId="3" fontId="33" fillId="0" borderId="6" xfId="0" applyNumberFormat="1" applyFont="1" applyBorder="1"/>
    <xf numFmtId="3" fontId="35" fillId="0" borderId="6" xfId="0" applyNumberFormat="1" applyFont="1" applyBorder="1"/>
    <xf numFmtId="3" fontId="33" fillId="0" borderId="9" xfId="0" applyNumberFormat="1" applyFont="1" applyBorder="1"/>
    <xf numFmtId="3" fontId="33" fillId="0" borderId="0" xfId="0" applyNumberFormat="1" applyFont="1" applyFill="1"/>
    <xf numFmtId="3" fontId="33" fillId="5" borderId="0" xfId="0" applyNumberFormat="1" applyFont="1" applyFill="1"/>
    <xf numFmtId="3" fontId="33" fillId="37" borderId="0" xfId="0" applyNumberFormat="1" applyFont="1" applyFill="1"/>
    <xf numFmtId="3" fontId="33" fillId="0" borderId="0" xfId="0" applyNumberFormat="1" applyFont="1" applyFill="1" applyAlignment="1" applyProtection="1">
      <alignment horizontal="right"/>
      <protection locked="0"/>
    </xf>
    <xf numFmtId="168" fontId="33" fillId="0" borderId="0" xfId="0" applyNumberFormat="1" applyFont="1"/>
    <xf numFmtId="0" fontId="33" fillId="38" borderId="0" xfId="0" applyFont="1" applyFill="1"/>
    <xf numFmtId="0" fontId="33" fillId="0" borderId="8" xfId="0" applyFont="1" applyFill="1" applyBorder="1"/>
    <xf numFmtId="168" fontId="33" fillId="4" borderId="6" xfId="0" applyNumberFormat="1" applyFont="1" applyFill="1" applyBorder="1"/>
    <xf numFmtId="0" fontId="38" fillId="0" borderId="8" xfId="0" applyFont="1" applyFill="1" applyBorder="1"/>
    <xf numFmtId="0" fontId="33" fillId="0" borderId="0" xfId="0" applyFont="1" applyFill="1" applyBorder="1"/>
    <xf numFmtId="0" fontId="33" fillId="4" borderId="0" xfId="0" applyFont="1" applyFill="1" applyBorder="1" applyAlignment="1"/>
    <xf numFmtId="6" fontId="33" fillId="4" borderId="0" xfId="2" applyNumberFormat="1" applyFont="1" applyFill="1" applyBorder="1" applyAlignment="1"/>
    <xf numFmtId="6" fontId="33" fillId="4" borderId="1" xfId="2" applyNumberFormat="1" applyFont="1" applyFill="1" applyBorder="1" applyAlignment="1"/>
    <xf numFmtId="6" fontId="35" fillId="4" borderId="0" xfId="2" applyNumberFormat="1" applyFont="1" applyFill="1" applyBorder="1" applyAlignment="1"/>
    <xf numFmtId="6" fontId="35" fillId="4" borderId="1" xfId="2" applyNumberFormat="1" applyFont="1" applyFill="1" applyBorder="1" applyAlignment="1"/>
    <xf numFmtId="0" fontId="33" fillId="4" borderId="8" xfId="0" applyFont="1" applyFill="1" applyBorder="1" applyAlignment="1"/>
    <xf numFmtId="3" fontId="33" fillId="4" borderId="0" xfId="0" applyNumberFormat="1" applyFont="1" applyFill="1" applyBorder="1" applyAlignment="1"/>
    <xf numFmtId="3" fontId="33" fillId="4" borderId="1" xfId="0" applyNumberFormat="1" applyFont="1" applyFill="1" applyBorder="1" applyAlignment="1"/>
    <xf numFmtId="3" fontId="35" fillId="4" borderId="0" xfId="0" applyNumberFormat="1" applyFont="1" applyFill="1" applyBorder="1" applyAlignment="1"/>
    <xf numFmtId="3" fontId="35" fillId="4" borderId="1" xfId="0" applyNumberFormat="1" applyFont="1" applyFill="1" applyBorder="1" applyAlignment="1"/>
    <xf numFmtId="0" fontId="33" fillId="0" borderId="0" xfId="0" applyFont="1" applyBorder="1" applyAlignment="1"/>
    <xf numFmtId="3" fontId="33" fillId="0" borderId="0" xfId="0" applyNumberFormat="1" applyFont="1" applyBorder="1" applyAlignment="1"/>
    <xf numFmtId="3" fontId="33" fillId="0" borderId="1" xfId="0" applyNumberFormat="1" applyFont="1" applyBorder="1" applyAlignment="1"/>
    <xf numFmtId="3" fontId="35" fillId="0" borderId="0" xfId="0" applyNumberFormat="1" applyFont="1" applyBorder="1" applyAlignment="1"/>
    <xf numFmtId="3" fontId="35" fillId="0" borderId="1" xfId="0" applyNumberFormat="1" applyFont="1" applyBorder="1" applyAlignment="1"/>
    <xf numFmtId="0" fontId="33" fillId="0" borderId="8" xfId="0" applyFont="1" applyBorder="1" applyAlignment="1"/>
    <xf numFmtId="3" fontId="33" fillId="0" borderId="8" xfId="0" applyNumberFormat="1" applyFont="1" applyBorder="1" applyAlignment="1"/>
    <xf numFmtId="0" fontId="33" fillId="0" borderId="0" xfId="0" applyFont="1" applyAlignment="1"/>
    <xf numFmtId="0" fontId="33" fillId="0" borderId="0" xfId="0" applyFont="1" applyFill="1" applyBorder="1" applyAlignment="1"/>
    <xf numFmtId="0" fontId="33" fillId="4" borderId="7" xfId="0" applyFont="1" applyFill="1" applyBorder="1" applyAlignment="1"/>
    <xf numFmtId="0" fontId="34" fillId="4" borderId="9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"/>
    </xf>
    <xf numFmtId="1" fontId="8" fillId="0" borderId="0" xfId="0" applyNumberFormat="1" applyFont="1" applyFill="1" applyAlignment="1" applyProtection="1">
      <alignment horizontal="center"/>
    </xf>
    <xf numFmtId="3" fontId="8" fillId="0" borderId="0" xfId="0" applyNumberFormat="1" applyFont="1" applyFill="1" applyAlignment="1" applyProtection="1">
      <alignment horizontal="center"/>
    </xf>
    <xf numFmtId="0" fontId="8" fillId="0" borderId="0" xfId="0" applyFont="1" applyFill="1" applyBorder="1" applyProtection="1"/>
    <xf numFmtId="2" fontId="8" fillId="0" borderId="0" xfId="0" applyNumberFormat="1" applyFont="1" applyFill="1" applyProtection="1"/>
    <xf numFmtId="14" fontId="28" fillId="2" borderId="0" xfId="0" applyNumberFormat="1" applyFont="1" applyFill="1" applyAlignment="1" applyProtection="1">
      <alignment horizontal="center"/>
    </xf>
    <xf numFmtId="164" fontId="8" fillId="0" borderId="0" xfId="0" applyNumberFormat="1" applyFont="1" applyFill="1" applyAlignment="1" applyProtection="1">
      <alignment horizontal="center"/>
    </xf>
    <xf numFmtId="170" fontId="29" fillId="0" borderId="0" xfId="0" applyNumberFormat="1" applyFont="1" applyFill="1" applyAlignment="1" applyProtection="1">
      <alignment horizontal="center"/>
    </xf>
    <xf numFmtId="170" fontId="30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0" fontId="8" fillId="0" borderId="12" xfId="0" applyFont="1" applyFill="1" applyBorder="1" applyProtection="1"/>
    <xf numFmtId="0" fontId="9" fillId="0" borderId="10" xfId="0" applyFont="1" applyFill="1" applyBorder="1" applyProtection="1"/>
    <xf numFmtId="0" fontId="9" fillId="0" borderId="27" xfId="0" applyFont="1" applyFill="1" applyBorder="1" applyAlignment="1" applyProtection="1">
      <alignment horizontal="center"/>
    </xf>
    <xf numFmtId="164" fontId="8" fillId="0" borderId="27" xfId="0" applyNumberFormat="1" applyFont="1" applyFill="1" applyBorder="1" applyAlignment="1" applyProtection="1">
      <alignment horizontal="center" wrapText="1"/>
    </xf>
    <xf numFmtId="164" fontId="8" fillId="0" borderId="27" xfId="0" applyNumberFormat="1" applyFont="1" applyFill="1" applyBorder="1" applyAlignment="1" applyProtection="1">
      <alignment horizontal="center" textRotation="90" wrapText="1"/>
    </xf>
    <xf numFmtId="164" fontId="8" fillId="0" borderId="26" xfId="0" applyNumberFormat="1" applyFont="1" applyFill="1" applyBorder="1" applyAlignment="1" applyProtection="1">
      <alignment horizontal="center" wrapText="1"/>
    </xf>
    <xf numFmtId="164" fontId="8" fillId="0" borderId="12" xfId="0" applyNumberFormat="1" applyFont="1" applyFill="1" applyBorder="1" applyAlignment="1" applyProtection="1">
      <alignment horizontal="center" wrapText="1"/>
    </xf>
    <xf numFmtId="164" fontId="8" fillId="0" borderId="10" xfId="0" applyNumberFormat="1" applyFont="1" applyFill="1" applyBorder="1" applyAlignment="1" applyProtection="1">
      <alignment horizontal="center" wrapText="1"/>
    </xf>
    <xf numFmtId="164" fontId="8" fillId="0" borderId="0" xfId="0" applyNumberFormat="1" applyFont="1" applyFill="1" applyAlignment="1" applyProtection="1">
      <alignment horizontal="center" wrapText="1"/>
    </xf>
    <xf numFmtId="164" fontId="8" fillId="0" borderId="11" xfId="0" applyNumberFormat="1" applyFont="1" applyFill="1" applyBorder="1" applyAlignment="1" applyProtection="1">
      <alignment horizontal="center" wrapText="1"/>
    </xf>
    <xf numFmtId="164" fontId="8" fillId="0" borderId="23" xfId="0" applyNumberFormat="1" applyFont="1" applyFill="1" applyBorder="1" applyAlignment="1" applyProtection="1">
      <alignment horizontal="center" wrapText="1"/>
    </xf>
    <xf numFmtId="164" fontId="8" fillId="0" borderId="24" xfId="0" applyNumberFormat="1" applyFont="1" applyFill="1" applyBorder="1" applyAlignment="1" applyProtection="1">
      <alignment horizontal="center" wrapText="1"/>
    </xf>
    <xf numFmtId="164" fontId="8" fillId="0" borderId="25" xfId="0" applyNumberFormat="1" applyFont="1" applyFill="1" applyBorder="1" applyAlignment="1" applyProtection="1">
      <alignment horizontal="center" wrapText="1"/>
    </xf>
    <xf numFmtId="164" fontId="8" fillId="0" borderId="0" xfId="0" applyNumberFormat="1" applyFont="1" applyFill="1" applyBorder="1" applyAlignment="1" applyProtection="1">
      <alignment horizontal="center" wrapText="1"/>
    </xf>
    <xf numFmtId="164" fontId="8" fillId="0" borderId="13" xfId="0" applyNumberFormat="1" applyFont="1" applyFill="1" applyBorder="1" applyAlignment="1" applyProtection="1">
      <alignment horizontal="center" wrapText="1"/>
    </xf>
    <xf numFmtId="164" fontId="8" fillId="0" borderId="28" xfId="0" applyNumberFormat="1" applyFont="1" applyFill="1" applyBorder="1" applyAlignment="1" applyProtection="1">
      <alignment horizontal="center" wrapText="1"/>
    </xf>
    <xf numFmtId="0" fontId="8" fillId="0" borderId="0" xfId="0" applyFont="1" applyFill="1" applyAlignment="1" applyProtection="1">
      <alignment horizontal="right"/>
    </xf>
    <xf numFmtId="164" fontId="29" fillId="0" borderId="0" xfId="1" applyNumberFormat="1" applyFont="1" applyFill="1" applyProtection="1"/>
    <xf numFmtId="164" fontId="31" fillId="0" borderId="0" xfId="1" applyNumberFormat="1" applyFont="1" applyFill="1" applyProtection="1"/>
    <xf numFmtId="164" fontId="30" fillId="0" borderId="0" xfId="1" applyNumberFormat="1" applyFont="1" applyFill="1" applyProtection="1"/>
    <xf numFmtId="3" fontId="32" fillId="0" borderId="0" xfId="44" applyNumberFormat="1" applyFont="1" applyProtection="1"/>
    <xf numFmtId="170" fontId="8" fillId="0" borderId="0" xfId="1" applyNumberFormat="1" applyFont="1" applyFill="1" applyProtection="1"/>
    <xf numFmtId="38" fontId="8" fillId="0" borderId="0" xfId="1" applyNumberFormat="1" applyFont="1" applyFill="1" applyAlignment="1" applyProtection="1"/>
    <xf numFmtId="10" fontId="8" fillId="0" borderId="0" xfId="3" applyNumberFormat="1" applyFont="1" applyFill="1" applyProtection="1"/>
    <xf numFmtId="168" fontId="8" fillId="0" borderId="0" xfId="0" applyNumberFormat="1" applyFont="1" applyFill="1" applyProtection="1"/>
    <xf numFmtId="171" fontId="8" fillId="0" borderId="0" xfId="0" applyNumberFormat="1" applyFont="1" applyFill="1" applyProtection="1"/>
    <xf numFmtId="0" fontId="8" fillId="0" borderId="0" xfId="0" applyFont="1" applyFill="1" applyAlignment="1" applyProtection="1"/>
    <xf numFmtId="1" fontId="8" fillId="0" borderId="0" xfId="0" applyNumberFormat="1" applyFont="1" applyFill="1" applyProtection="1"/>
    <xf numFmtId="0" fontId="32" fillId="0" borderId="0" xfId="44" applyFont="1" applyProtection="1"/>
    <xf numFmtId="0" fontId="29" fillId="0" borderId="0" xfId="0" applyFont="1" applyFill="1" applyProtection="1"/>
    <xf numFmtId="0" fontId="30" fillId="0" borderId="0" xfId="0" applyFont="1" applyFill="1" applyProtection="1"/>
    <xf numFmtId="0" fontId="33" fillId="0" borderId="30" xfId="0" applyFont="1" applyBorder="1"/>
    <xf numFmtId="172" fontId="8" fillId="0" borderId="0" xfId="0" applyNumberFormat="1" applyFont="1" applyFill="1" applyProtection="1"/>
    <xf numFmtId="0" fontId="33" fillId="0" borderId="0" xfId="0" applyFont="1" applyBorder="1"/>
    <xf numFmtId="0" fontId="33" fillId="0" borderId="31" xfId="0" applyFont="1" applyBorder="1"/>
    <xf numFmtId="0" fontId="33" fillId="0" borderId="32" xfId="0" applyFont="1" applyBorder="1"/>
    <xf numFmtId="0" fontId="33" fillId="0" borderId="10" xfId="0" applyFont="1" applyBorder="1"/>
    <xf numFmtId="0" fontId="33" fillId="0" borderId="13" xfId="0" applyFont="1" applyBorder="1"/>
    <xf numFmtId="3" fontId="33" fillId="0" borderId="10" xfId="0" applyNumberFormat="1" applyFont="1" applyBorder="1"/>
    <xf numFmtId="0" fontId="33" fillId="0" borderId="0" xfId="0" applyFont="1" applyFill="1"/>
    <xf numFmtId="14" fontId="33" fillId="0" borderId="0" xfId="0" applyNumberFormat="1" applyFont="1" applyFill="1"/>
    <xf numFmtId="3" fontId="33" fillId="4" borderId="6" xfId="0" applyNumberFormat="1" applyFont="1" applyFill="1" applyBorder="1"/>
    <xf numFmtId="3" fontId="35" fillId="4" borderId="6" xfId="0" applyNumberFormat="1" applyFont="1" applyFill="1" applyBorder="1"/>
    <xf numFmtId="3" fontId="33" fillId="4" borderId="9" xfId="0" applyNumberFormat="1" applyFont="1" applyFill="1" applyBorder="1"/>
    <xf numFmtId="0" fontId="33" fillId="39" borderId="0" xfId="0" applyFont="1" applyFill="1"/>
    <xf numFmtId="0" fontId="8" fillId="41" borderId="0" xfId="0" applyFont="1" applyFill="1" applyProtection="1"/>
    <xf numFmtId="38" fontId="8" fillId="40" borderId="0" xfId="1" applyNumberFormat="1" applyFont="1" applyFill="1" applyProtection="1"/>
    <xf numFmtId="3" fontId="8" fillId="42" borderId="0" xfId="0" applyNumberFormat="1" applyFont="1" applyFill="1" applyProtection="1"/>
    <xf numFmtId="0" fontId="9" fillId="0" borderId="0" xfId="0" applyFont="1" applyFill="1" applyProtection="1"/>
    <xf numFmtId="38" fontId="8" fillId="40" borderId="0" xfId="1" applyNumberFormat="1" applyFont="1" applyFill="1" applyAlignment="1" applyProtection="1"/>
    <xf numFmtId="0" fontId="8" fillId="43" borderId="0" xfId="0" applyFont="1" applyFill="1" applyAlignment="1" applyProtection="1">
      <alignment horizontal="center"/>
    </xf>
    <xf numFmtId="0" fontId="33" fillId="0" borderId="0" xfId="0" applyFont="1" applyFill="1" applyAlignment="1">
      <alignment horizontal="right"/>
    </xf>
    <xf numFmtId="0" fontId="33" fillId="37" borderId="0" xfId="0" applyFont="1" applyFill="1"/>
    <xf numFmtId="164" fontId="33" fillId="0" borderId="0" xfId="0" applyNumberFormat="1" applyFont="1" applyFill="1"/>
    <xf numFmtId="0" fontId="9" fillId="44" borderId="0" xfId="0" applyFont="1" applyFill="1" applyBorder="1" applyAlignment="1" applyProtection="1">
      <alignment horizontal="center"/>
    </xf>
    <xf numFmtId="164" fontId="8" fillId="44" borderId="0" xfId="0" applyNumberFormat="1" applyFont="1" applyFill="1" applyBorder="1" applyAlignment="1" applyProtection="1">
      <alignment horizontal="right" wrapText="1"/>
    </xf>
    <xf numFmtId="3" fontId="8" fillId="44" borderId="0" xfId="0" applyNumberFormat="1" applyFont="1" applyFill="1" applyBorder="1" applyAlignment="1" applyProtection="1">
      <alignment horizontal="right" wrapText="1"/>
    </xf>
    <xf numFmtId="171" fontId="8" fillId="44" borderId="0" xfId="0" applyNumberFormat="1" applyFont="1" applyFill="1" applyBorder="1" applyAlignment="1" applyProtection="1">
      <alignment horizontal="right" wrapText="1"/>
    </xf>
    <xf numFmtId="4" fontId="8" fillId="44" borderId="0" xfId="0" applyNumberFormat="1" applyFont="1" applyFill="1" applyBorder="1" applyAlignment="1" applyProtection="1">
      <alignment horizontal="right" wrapText="1"/>
    </xf>
    <xf numFmtId="169" fontId="8" fillId="44" borderId="0" xfId="0" applyNumberFormat="1" applyFont="1" applyFill="1" applyBorder="1" applyAlignment="1" applyProtection="1">
      <alignment horizontal="right" wrapText="1"/>
    </xf>
    <xf numFmtId="2" fontId="8" fillId="44" borderId="0" xfId="0" applyNumberFormat="1" applyFont="1" applyFill="1" applyBorder="1" applyAlignment="1" applyProtection="1">
      <alignment horizontal="right" wrapText="1"/>
    </xf>
    <xf numFmtId="0" fontId="9" fillId="44" borderId="0" xfId="0" applyFont="1" applyFill="1" applyBorder="1" applyAlignment="1" applyProtection="1">
      <alignment horizontal="left"/>
    </xf>
    <xf numFmtId="173" fontId="33" fillId="0" borderId="13" xfId="0" applyNumberFormat="1" applyFont="1" applyBorder="1"/>
    <xf numFmtId="0" fontId="33" fillId="0" borderId="36" xfId="0" applyFont="1" applyBorder="1"/>
    <xf numFmtId="0" fontId="33" fillId="0" borderId="1" xfId="0" applyFont="1" applyBorder="1"/>
    <xf numFmtId="0" fontId="33" fillId="0" borderId="37" xfId="0" applyFont="1" applyBorder="1"/>
    <xf numFmtId="14" fontId="33" fillId="0" borderId="0" xfId="0" applyNumberFormat="1" applyFont="1"/>
    <xf numFmtId="0" fontId="8" fillId="46" borderId="0" xfId="0" applyFont="1" applyFill="1" applyAlignment="1" applyProtection="1">
      <alignment horizontal="center"/>
    </xf>
    <xf numFmtId="0" fontId="8" fillId="45" borderId="0" xfId="0" applyFont="1" applyFill="1" applyProtection="1"/>
    <xf numFmtId="10" fontId="8" fillId="44" borderId="0" xfId="0" applyNumberFormat="1" applyFont="1" applyFill="1" applyBorder="1" applyAlignment="1" applyProtection="1">
      <alignment horizontal="right" wrapText="1"/>
    </xf>
    <xf numFmtId="10" fontId="33" fillId="0" borderId="0" xfId="0" applyNumberFormat="1" applyFont="1" applyBorder="1" applyAlignment="1">
      <alignment horizontal="center"/>
    </xf>
    <xf numFmtId="174" fontId="33" fillId="0" borderId="13" xfId="0" applyNumberFormat="1" applyFont="1" applyBorder="1"/>
    <xf numFmtId="0" fontId="4" fillId="0" borderId="0" xfId="76"/>
    <xf numFmtId="0" fontId="4" fillId="0" borderId="0" xfId="76" applyFill="1"/>
    <xf numFmtId="164" fontId="4" fillId="0" borderId="0" xfId="76" applyNumberFormat="1" applyFill="1"/>
    <xf numFmtId="3" fontId="4" fillId="0" borderId="0" xfId="104" applyNumberFormat="1"/>
    <xf numFmtId="164" fontId="4" fillId="0" borderId="0" xfId="104" applyNumberFormat="1" applyFill="1"/>
    <xf numFmtId="0" fontId="4" fillId="0" borderId="0" xfId="104"/>
    <xf numFmtId="164" fontId="4" fillId="0" borderId="0" xfId="104" applyNumberFormat="1"/>
    <xf numFmtId="0" fontId="4" fillId="0" borderId="0" xfId="104"/>
    <xf numFmtId="0" fontId="4" fillId="0" borderId="0" xfId="104"/>
    <xf numFmtId="3" fontId="32" fillId="0" borderId="0" xfId="104" applyNumberFormat="1" applyFont="1"/>
    <xf numFmtId="10" fontId="32" fillId="0" borderId="0" xfId="104" applyNumberFormat="1" applyFont="1"/>
    <xf numFmtId="0" fontId="4" fillId="0" borderId="0" xfId="104" applyFill="1"/>
    <xf numFmtId="3" fontId="32" fillId="0" borderId="0" xfId="138" applyNumberFormat="1" applyFont="1"/>
    <xf numFmtId="10" fontId="44" fillId="0" borderId="0" xfId="66" applyNumberFormat="1" applyFont="1" applyFill="1" applyBorder="1"/>
    <xf numFmtId="0" fontId="4" fillId="47" borderId="0" xfId="104" applyFill="1"/>
    <xf numFmtId="0" fontId="32" fillId="0" borderId="0" xfId="245" applyFont="1" applyBorder="1"/>
    <xf numFmtId="0" fontId="32" fillId="0" borderId="1" xfId="245" applyFont="1" applyBorder="1"/>
    <xf numFmtId="0" fontId="32" fillId="46" borderId="0" xfId="245" applyFont="1" applyFill="1"/>
    <xf numFmtId="3" fontId="32" fillId="0" borderId="0" xfId="245" applyNumberFormat="1" applyFont="1" applyBorder="1"/>
    <xf numFmtId="0" fontId="32" fillId="0" borderId="0" xfId="245" applyFont="1"/>
    <xf numFmtId="3" fontId="32" fillId="0" borderId="1" xfId="245" applyNumberFormat="1" applyFont="1" applyBorder="1"/>
    <xf numFmtId="3" fontId="32" fillId="0" borderId="0" xfId="245" applyNumberFormat="1" applyFont="1"/>
    <xf numFmtId="164" fontId="4" fillId="48" borderId="0" xfId="104" applyNumberFormat="1" applyFill="1"/>
    <xf numFmtId="175" fontId="33" fillId="0" borderId="13" xfId="0" applyNumberFormat="1" applyFont="1" applyBorder="1"/>
    <xf numFmtId="37" fontId="32" fillId="0" borderId="0" xfId="257" applyNumberFormat="1" applyFont="1" applyBorder="1"/>
    <xf numFmtId="3" fontId="8" fillId="48" borderId="0" xfId="0" applyNumberFormat="1" applyFont="1" applyFill="1" applyProtection="1"/>
    <xf numFmtId="0" fontId="8" fillId="48" borderId="0" xfId="0" applyFont="1" applyFill="1" applyProtection="1"/>
    <xf numFmtId="1" fontId="9" fillId="0" borderId="10" xfId="0" applyNumberFormat="1" applyFont="1" applyFill="1" applyBorder="1" applyAlignment="1" applyProtection="1">
      <alignment horizontal="left"/>
    </xf>
    <xf numFmtId="1" fontId="9" fillId="0" borderId="0" xfId="0" applyNumberFormat="1" applyFont="1" applyFill="1" applyBorder="1" applyAlignment="1" applyProtection="1">
      <alignment horizontal="left"/>
    </xf>
    <xf numFmtId="1" fontId="9" fillId="0" borderId="13" xfId="0" applyNumberFormat="1" applyFont="1" applyFill="1" applyBorder="1" applyAlignment="1" applyProtection="1">
      <alignment horizontal="left"/>
    </xf>
    <xf numFmtId="0" fontId="9" fillId="0" borderId="10" xfId="0" applyFont="1" applyFill="1" applyBorder="1" applyAlignment="1" applyProtection="1"/>
    <xf numFmtId="0" fontId="8" fillId="0" borderId="0" xfId="0" applyFont="1" applyAlignment="1" applyProtection="1"/>
    <xf numFmtId="0" fontId="8" fillId="0" borderId="13" xfId="0" applyFont="1" applyBorder="1" applyAlignment="1" applyProtection="1"/>
    <xf numFmtId="0" fontId="9" fillId="0" borderId="1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13" xfId="0" applyFont="1" applyFill="1" applyBorder="1" applyAlignment="1" applyProtection="1">
      <alignment horizontal="left"/>
    </xf>
    <xf numFmtId="0" fontId="33" fillId="4" borderId="5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3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33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4" borderId="0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33" fillId="4" borderId="5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33" fillId="4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3" fillId="4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wrapText="1"/>
    </xf>
    <xf numFmtId="0" fontId="33" fillId="0" borderId="29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6" xfId="0" applyFont="1" applyBorder="1" applyAlignment="1"/>
    <xf numFmtId="0" fontId="33" fillId="0" borderId="0" xfId="0" applyFont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35" xfId="0" applyFont="1" applyBorder="1" applyAlignment="1">
      <alignment horizontal="center"/>
    </xf>
  </cellXfs>
  <cellStyles count="427">
    <cellStyle name="20% - Accent1" xfId="21" builtinId="30" customBuiltin="1"/>
    <cellStyle name="20% - Accent1 2" xfId="48"/>
    <cellStyle name="20% - Accent1 2 2" xfId="92"/>
    <cellStyle name="20% - Accent1 2 2 2" xfId="227"/>
    <cellStyle name="20% - Accent1 2 2 2 2" xfId="275"/>
    <cellStyle name="20% - Accent1 2 2 3" xfId="274"/>
    <cellStyle name="20% - Accent1 2 3" xfId="196"/>
    <cellStyle name="20% - Accent1 2 3 2" xfId="276"/>
    <cellStyle name="20% - Accent1 2 4" xfId="273"/>
    <cellStyle name="20% - Accent1 3" xfId="77"/>
    <cellStyle name="20% - Accent1 3 2" xfId="212"/>
    <cellStyle name="20% - Accent1 3 2 2" xfId="278"/>
    <cellStyle name="20% - Accent1 3 3" xfId="277"/>
    <cellStyle name="20% - Accent1 4" xfId="181"/>
    <cellStyle name="20% - Accent1 4 2" xfId="279"/>
    <cellStyle name="20% - Accent1 5" xfId="259"/>
    <cellStyle name="20% - Accent1 6" xfId="272"/>
    <cellStyle name="20% - Accent2" xfId="25" builtinId="34" customBuiltin="1"/>
    <cellStyle name="20% - Accent2 2" xfId="50"/>
    <cellStyle name="20% - Accent2 2 2" xfId="94"/>
    <cellStyle name="20% - Accent2 2 2 2" xfId="229"/>
    <cellStyle name="20% - Accent2 2 2 2 2" xfId="283"/>
    <cellStyle name="20% - Accent2 2 2 3" xfId="282"/>
    <cellStyle name="20% - Accent2 2 3" xfId="198"/>
    <cellStyle name="20% - Accent2 2 3 2" xfId="284"/>
    <cellStyle name="20% - Accent2 2 4" xfId="281"/>
    <cellStyle name="20% - Accent2 3" xfId="79"/>
    <cellStyle name="20% - Accent2 3 2" xfId="214"/>
    <cellStyle name="20% - Accent2 3 2 2" xfId="286"/>
    <cellStyle name="20% - Accent2 3 3" xfId="285"/>
    <cellStyle name="20% - Accent2 4" xfId="183"/>
    <cellStyle name="20% - Accent2 4 2" xfId="287"/>
    <cellStyle name="20% - Accent2 5" xfId="261"/>
    <cellStyle name="20% - Accent2 6" xfId="280"/>
    <cellStyle name="20% - Accent3" xfId="29" builtinId="38" customBuiltin="1"/>
    <cellStyle name="20% - Accent3 2" xfId="52"/>
    <cellStyle name="20% - Accent3 2 2" xfId="96"/>
    <cellStyle name="20% - Accent3 2 2 2" xfId="231"/>
    <cellStyle name="20% - Accent3 2 2 2 2" xfId="291"/>
    <cellStyle name="20% - Accent3 2 2 3" xfId="290"/>
    <cellStyle name="20% - Accent3 2 3" xfId="200"/>
    <cellStyle name="20% - Accent3 2 3 2" xfId="292"/>
    <cellStyle name="20% - Accent3 2 4" xfId="289"/>
    <cellStyle name="20% - Accent3 3" xfId="81"/>
    <cellStyle name="20% - Accent3 3 2" xfId="216"/>
    <cellStyle name="20% - Accent3 3 2 2" xfId="294"/>
    <cellStyle name="20% - Accent3 3 3" xfId="293"/>
    <cellStyle name="20% - Accent3 4" xfId="185"/>
    <cellStyle name="20% - Accent3 4 2" xfId="295"/>
    <cellStyle name="20% - Accent3 5" xfId="263"/>
    <cellStyle name="20% - Accent3 6" xfId="288"/>
    <cellStyle name="20% - Accent4" xfId="33" builtinId="42" customBuiltin="1"/>
    <cellStyle name="20% - Accent4 2" xfId="54"/>
    <cellStyle name="20% - Accent4 2 2" xfId="98"/>
    <cellStyle name="20% - Accent4 2 2 2" xfId="233"/>
    <cellStyle name="20% - Accent4 2 2 2 2" xfId="299"/>
    <cellStyle name="20% - Accent4 2 2 3" xfId="298"/>
    <cellStyle name="20% - Accent4 2 3" xfId="202"/>
    <cellStyle name="20% - Accent4 2 3 2" xfId="300"/>
    <cellStyle name="20% - Accent4 2 4" xfId="297"/>
    <cellStyle name="20% - Accent4 3" xfId="83"/>
    <cellStyle name="20% - Accent4 3 2" xfId="218"/>
    <cellStyle name="20% - Accent4 3 2 2" xfId="302"/>
    <cellStyle name="20% - Accent4 3 3" xfId="301"/>
    <cellStyle name="20% - Accent4 4" xfId="187"/>
    <cellStyle name="20% - Accent4 4 2" xfId="303"/>
    <cellStyle name="20% - Accent4 5" xfId="265"/>
    <cellStyle name="20% - Accent4 6" xfId="296"/>
    <cellStyle name="20% - Accent5" xfId="37" builtinId="46" customBuiltin="1"/>
    <cellStyle name="20% - Accent5 2" xfId="56"/>
    <cellStyle name="20% - Accent5 2 2" xfId="100"/>
    <cellStyle name="20% - Accent5 2 2 2" xfId="235"/>
    <cellStyle name="20% - Accent5 2 2 2 2" xfId="307"/>
    <cellStyle name="20% - Accent5 2 2 3" xfId="306"/>
    <cellStyle name="20% - Accent5 2 3" xfId="204"/>
    <cellStyle name="20% - Accent5 2 3 2" xfId="308"/>
    <cellStyle name="20% - Accent5 2 4" xfId="305"/>
    <cellStyle name="20% - Accent5 3" xfId="85"/>
    <cellStyle name="20% - Accent5 3 2" xfId="220"/>
    <cellStyle name="20% - Accent5 3 2 2" xfId="310"/>
    <cellStyle name="20% - Accent5 3 3" xfId="309"/>
    <cellStyle name="20% - Accent5 4" xfId="189"/>
    <cellStyle name="20% - Accent5 4 2" xfId="311"/>
    <cellStyle name="20% - Accent5 5" xfId="267"/>
    <cellStyle name="20% - Accent5 6" xfId="304"/>
    <cellStyle name="20% - Accent6" xfId="41" builtinId="50" customBuiltin="1"/>
    <cellStyle name="20% - Accent6 2" xfId="58"/>
    <cellStyle name="20% - Accent6 2 2" xfId="102"/>
    <cellStyle name="20% - Accent6 2 2 2" xfId="237"/>
    <cellStyle name="20% - Accent6 2 2 2 2" xfId="315"/>
    <cellStyle name="20% - Accent6 2 2 3" xfId="314"/>
    <cellStyle name="20% - Accent6 2 3" xfId="206"/>
    <cellStyle name="20% - Accent6 2 3 2" xfId="316"/>
    <cellStyle name="20% - Accent6 2 4" xfId="313"/>
    <cellStyle name="20% - Accent6 3" xfId="87"/>
    <cellStyle name="20% - Accent6 3 2" xfId="222"/>
    <cellStyle name="20% - Accent6 3 2 2" xfId="318"/>
    <cellStyle name="20% - Accent6 3 3" xfId="317"/>
    <cellStyle name="20% - Accent6 4" xfId="191"/>
    <cellStyle name="20% - Accent6 4 2" xfId="319"/>
    <cellStyle name="20% - Accent6 5" xfId="269"/>
    <cellStyle name="20% - Accent6 6" xfId="312"/>
    <cellStyle name="40% - Accent1" xfId="22" builtinId="31" customBuiltin="1"/>
    <cellStyle name="40% - Accent1 2" xfId="49"/>
    <cellStyle name="40% - Accent1 2 2" xfId="93"/>
    <cellStyle name="40% - Accent1 2 2 2" xfId="228"/>
    <cellStyle name="40% - Accent1 2 2 2 2" xfId="323"/>
    <cellStyle name="40% - Accent1 2 2 3" xfId="322"/>
    <cellStyle name="40% - Accent1 2 3" xfId="197"/>
    <cellStyle name="40% - Accent1 2 3 2" xfId="324"/>
    <cellStyle name="40% - Accent1 2 4" xfId="321"/>
    <cellStyle name="40% - Accent1 3" xfId="78"/>
    <cellStyle name="40% - Accent1 3 2" xfId="213"/>
    <cellStyle name="40% - Accent1 3 2 2" xfId="326"/>
    <cellStyle name="40% - Accent1 3 3" xfId="325"/>
    <cellStyle name="40% - Accent1 4" xfId="182"/>
    <cellStyle name="40% - Accent1 4 2" xfId="327"/>
    <cellStyle name="40% - Accent1 5" xfId="260"/>
    <cellStyle name="40% - Accent1 6" xfId="320"/>
    <cellStyle name="40% - Accent2" xfId="26" builtinId="35" customBuiltin="1"/>
    <cellStyle name="40% - Accent2 2" xfId="51"/>
    <cellStyle name="40% - Accent2 2 2" xfId="95"/>
    <cellStyle name="40% - Accent2 2 2 2" xfId="230"/>
    <cellStyle name="40% - Accent2 2 2 2 2" xfId="331"/>
    <cellStyle name="40% - Accent2 2 2 3" xfId="330"/>
    <cellStyle name="40% - Accent2 2 3" xfId="199"/>
    <cellStyle name="40% - Accent2 2 3 2" xfId="332"/>
    <cellStyle name="40% - Accent2 2 4" xfId="329"/>
    <cellStyle name="40% - Accent2 3" xfId="80"/>
    <cellStyle name="40% - Accent2 3 2" xfId="215"/>
    <cellStyle name="40% - Accent2 3 2 2" xfId="334"/>
    <cellStyle name="40% - Accent2 3 3" xfId="333"/>
    <cellStyle name="40% - Accent2 4" xfId="184"/>
    <cellStyle name="40% - Accent2 4 2" xfId="335"/>
    <cellStyle name="40% - Accent2 5" xfId="262"/>
    <cellStyle name="40% - Accent2 6" xfId="328"/>
    <cellStyle name="40% - Accent3" xfId="30" builtinId="39" customBuiltin="1"/>
    <cellStyle name="40% - Accent3 2" xfId="53"/>
    <cellStyle name="40% - Accent3 2 2" xfId="97"/>
    <cellStyle name="40% - Accent3 2 2 2" xfId="232"/>
    <cellStyle name="40% - Accent3 2 2 2 2" xfId="339"/>
    <cellStyle name="40% - Accent3 2 2 3" xfId="338"/>
    <cellStyle name="40% - Accent3 2 3" xfId="201"/>
    <cellStyle name="40% - Accent3 2 3 2" xfId="340"/>
    <cellStyle name="40% - Accent3 2 4" xfId="337"/>
    <cellStyle name="40% - Accent3 3" xfId="82"/>
    <cellStyle name="40% - Accent3 3 2" xfId="217"/>
    <cellStyle name="40% - Accent3 3 2 2" xfId="342"/>
    <cellStyle name="40% - Accent3 3 3" xfId="341"/>
    <cellStyle name="40% - Accent3 4" xfId="186"/>
    <cellStyle name="40% - Accent3 4 2" xfId="343"/>
    <cellStyle name="40% - Accent3 5" xfId="264"/>
    <cellStyle name="40% - Accent3 6" xfId="336"/>
    <cellStyle name="40% - Accent4" xfId="34" builtinId="43" customBuiltin="1"/>
    <cellStyle name="40% - Accent4 2" xfId="55"/>
    <cellStyle name="40% - Accent4 2 2" xfId="99"/>
    <cellStyle name="40% - Accent4 2 2 2" xfId="234"/>
    <cellStyle name="40% - Accent4 2 2 2 2" xfId="347"/>
    <cellStyle name="40% - Accent4 2 2 3" xfId="346"/>
    <cellStyle name="40% - Accent4 2 3" xfId="203"/>
    <cellStyle name="40% - Accent4 2 3 2" xfId="348"/>
    <cellStyle name="40% - Accent4 2 4" xfId="345"/>
    <cellStyle name="40% - Accent4 3" xfId="84"/>
    <cellStyle name="40% - Accent4 3 2" xfId="219"/>
    <cellStyle name="40% - Accent4 3 2 2" xfId="350"/>
    <cellStyle name="40% - Accent4 3 3" xfId="349"/>
    <cellStyle name="40% - Accent4 4" xfId="188"/>
    <cellStyle name="40% - Accent4 4 2" xfId="351"/>
    <cellStyle name="40% - Accent4 5" xfId="266"/>
    <cellStyle name="40% - Accent4 6" xfId="344"/>
    <cellStyle name="40% - Accent5" xfId="38" builtinId="47" customBuiltin="1"/>
    <cellStyle name="40% - Accent5 2" xfId="57"/>
    <cellStyle name="40% - Accent5 2 2" xfId="101"/>
    <cellStyle name="40% - Accent5 2 2 2" xfId="236"/>
    <cellStyle name="40% - Accent5 2 2 2 2" xfId="355"/>
    <cellStyle name="40% - Accent5 2 2 3" xfId="354"/>
    <cellStyle name="40% - Accent5 2 3" xfId="205"/>
    <cellStyle name="40% - Accent5 2 3 2" xfId="356"/>
    <cellStyle name="40% - Accent5 2 4" xfId="353"/>
    <cellStyle name="40% - Accent5 3" xfId="86"/>
    <cellStyle name="40% - Accent5 3 2" xfId="221"/>
    <cellStyle name="40% - Accent5 3 2 2" xfId="358"/>
    <cellStyle name="40% - Accent5 3 3" xfId="357"/>
    <cellStyle name="40% - Accent5 4" xfId="190"/>
    <cellStyle name="40% - Accent5 4 2" xfId="359"/>
    <cellStyle name="40% - Accent5 5" xfId="268"/>
    <cellStyle name="40% - Accent5 6" xfId="352"/>
    <cellStyle name="40% - Accent6" xfId="42" builtinId="51" customBuiltin="1"/>
    <cellStyle name="40% - Accent6 2" xfId="59"/>
    <cellStyle name="40% - Accent6 2 2" xfId="103"/>
    <cellStyle name="40% - Accent6 2 2 2" xfId="238"/>
    <cellStyle name="40% - Accent6 2 2 2 2" xfId="363"/>
    <cellStyle name="40% - Accent6 2 2 3" xfId="362"/>
    <cellStyle name="40% - Accent6 2 3" xfId="207"/>
    <cellStyle name="40% - Accent6 2 3 2" xfId="364"/>
    <cellStyle name="40% - Accent6 2 4" xfId="361"/>
    <cellStyle name="40% - Accent6 3" xfId="88"/>
    <cellStyle name="40% - Accent6 3 2" xfId="223"/>
    <cellStyle name="40% - Accent6 3 2 2" xfId="366"/>
    <cellStyle name="40% - Accent6 3 3" xfId="365"/>
    <cellStyle name="40% - Accent6 4" xfId="192"/>
    <cellStyle name="40% - Accent6 4 2" xfId="367"/>
    <cellStyle name="40% - Accent6 5" xfId="270"/>
    <cellStyle name="40% - Accent6 6" xfId="360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61"/>
    <cellStyle name="Comma 2 2" xfId="64"/>
    <cellStyle name="Comma 2 2 2" xfId="173"/>
    <cellStyle name="Comma 2 2 3" xfId="165"/>
    <cellStyle name="Comma 2 2 4" xfId="139"/>
    <cellStyle name="Comma 2 3" xfId="127"/>
    <cellStyle name="Comma 2 3 2" xfId="163"/>
    <cellStyle name="Comma 2 4" xfId="154"/>
    <cellStyle name="Comma 3" xfId="71"/>
    <cellStyle name="Comma 3 2" xfId="151"/>
    <cellStyle name="Comma 3 3" xfId="172"/>
    <cellStyle name="Comma 3 4" xfId="155"/>
    <cellStyle name="Comma 4" xfId="114"/>
    <cellStyle name="Comma 4 2" xfId="126"/>
    <cellStyle name="Comma 4 2 2" xfId="179"/>
    <cellStyle name="Comma 4 3" xfId="153"/>
    <cellStyle name="Comma 5" xfId="125"/>
    <cellStyle name="Comma 5 2" xfId="136"/>
    <cellStyle name="Comma 5 3" xfId="244"/>
    <cellStyle name="Comma 5 3 2" xfId="370"/>
    <cellStyle name="Comma 5 4" xfId="369"/>
    <cellStyle name="Comma 6" xfId="112"/>
    <cellStyle name="Comma 6 2" xfId="119"/>
    <cellStyle name="Comma 7" xfId="368"/>
    <cellStyle name="Currency" xfId="2" builtinId="4"/>
    <cellStyle name="Currency 2" xfId="62"/>
    <cellStyle name="Currency 3" xfId="115"/>
    <cellStyle name="Currency 4" xfId="108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 2" xfId="128"/>
    <cellStyle name="Hyperlink 3" xfId="129"/>
    <cellStyle name="Hyperlink 4" xfId="147"/>
    <cellStyle name="Hyperlink 4 2" xfId="174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38"/>
    <cellStyle name="Normal 10 2" xfId="245"/>
    <cellStyle name="Normal 10 2 2" xfId="372"/>
    <cellStyle name="Normal 10 3" xfId="371"/>
    <cellStyle name="Normal 11" xfId="132"/>
    <cellStyle name="Normal 12" xfId="180"/>
    <cellStyle name="Normal 12 2" xfId="373"/>
    <cellStyle name="Normal 13" xfId="257"/>
    <cellStyle name="Normal 13 2" xfId="374"/>
    <cellStyle name="Normal 14" xfId="271"/>
    <cellStyle name="Normal 2" xfId="44"/>
    <cellStyle name="Normal 2 2" xfId="66"/>
    <cellStyle name="Normal 2 2 2" xfId="75"/>
    <cellStyle name="Normal 2 2 2 2" xfId="146"/>
    <cellStyle name="Normal 2 2 2 2 2" xfId="159"/>
    <cellStyle name="Normal 2 2 2 2 2 2" xfId="252"/>
    <cellStyle name="Normal 2 2 2 2 2 2 2" xfId="378"/>
    <cellStyle name="Normal 2 2 2 2 2 3" xfId="377"/>
    <cellStyle name="Normal 2 2 2 2 3" xfId="171"/>
    <cellStyle name="Normal 2 2 2 2 4" xfId="248"/>
    <cellStyle name="Normal 2 2 2 2 4 2" xfId="379"/>
    <cellStyle name="Normal 2 2 2 2 5" xfId="376"/>
    <cellStyle name="Normal 2 2 3" xfId="72"/>
    <cellStyle name="Normal 2 2 3 2" xfId="168"/>
    <cellStyle name="Normal 2 2 3 3" xfId="156"/>
    <cellStyle name="Normal 2 2 3 3 2" xfId="249"/>
    <cellStyle name="Normal 2 2 3 3 2 2" xfId="381"/>
    <cellStyle name="Normal 2 2 3 3 3" xfId="380"/>
    <cellStyle name="Normal 2 2 4" xfId="121"/>
    <cellStyle name="Normal 2 2 4 2" xfId="243"/>
    <cellStyle name="Normal 2 2 4 2 2" xfId="383"/>
    <cellStyle name="Normal 2 2 4 3" xfId="382"/>
    <cellStyle name="Normal 2 3" xfId="65"/>
    <cellStyle name="Normal 2 4" xfId="70"/>
    <cellStyle name="Normal 2 4 2" xfId="140"/>
    <cellStyle name="Normal 2 4 2 2" xfId="167"/>
    <cellStyle name="Normal 2 4 3" xfId="120"/>
    <cellStyle name="Normal 2 5" xfId="68"/>
    <cellStyle name="Normal 2 5 2" xfId="104"/>
    <cellStyle name="Normal 2 5 2 2" xfId="239"/>
    <cellStyle name="Normal 2 5 2 2 2" xfId="386"/>
    <cellStyle name="Normal 2 5 2 3" xfId="385"/>
    <cellStyle name="Normal 2 5 3" xfId="208"/>
    <cellStyle name="Normal 2 5 3 2" xfId="387"/>
    <cellStyle name="Normal 2 5 4" xfId="384"/>
    <cellStyle name="Normal 2 6" xfId="89"/>
    <cellStyle name="Normal 2 6 2" xfId="224"/>
    <cellStyle name="Normal 2 6 2 2" xfId="389"/>
    <cellStyle name="Normal 2 6 3" xfId="388"/>
    <cellStyle name="Normal 2 7" xfId="193"/>
    <cellStyle name="Normal 2 7 2" xfId="390"/>
    <cellStyle name="Normal 2 8" xfId="375"/>
    <cellStyle name="Normal 3" xfId="46"/>
    <cellStyle name="Normal 3 2" xfId="73"/>
    <cellStyle name="Normal 3 2 2" xfId="106"/>
    <cellStyle name="Normal 3 2 2 2" xfId="169"/>
    <cellStyle name="Normal 3 2 2 2 2" xfId="256"/>
    <cellStyle name="Normal 3 2 2 2 2 2" xfId="394"/>
    <cellStyle name="Normal 3 2 2 2 3" xfId="393"/>
    <cellStyle name="Normal 3 2 2 3" xfId="148"/>
    <cellStyle name="Normal 3 2 2 4" xfId="241"/>
    <cellStyle name="Normal 3 2 2 4 2" xfId="395"/>
    <cellStyle name="Normal 3 2 2 5" xfId="392"/>
    <cellStyle name="Normal 3 2 3" xfId="144"/>
    <cellStyle name="Normal 3 2 4" xfId="210"/>
    <cellStyle name="Normal 3 2 4 2" xfId="396"/>
    <cellStyle name="Normal 3 2 5" xfId="391"/>
    <cellStyle name="Normal 3 3" xfId="130"/>
    <cellStyle name="Normal 3 4" xfId="118"/>
    <cellStyle name="Normal 4" xfId="60"/>
    <cellStyle name="Normal 4 2" xfId="74"/>
    <cellStyle name="Normal 4 2 2" xfId="170"/>
    <cellStyle name="Normal 4 2 3" xfId="137"/>
    <cellStyle name="Normal 4 3" xfId="145"/>
    <cellStyle name="Normal 4 3 2" xfId="160"/>
    <cellStyle name="Normal 4 3 2 2" xfId="253"/>
    <cellStyle name="Normal 4 3 2 2 2" xfId="399"/>
    <cellStyle name="Normal 4 3 2 3" xfId="398"/>
    <cellStyle name="Normal 4 3 3" xfId="247"/>
    <cellStyle name="Normal 4 3 3 2" xfId="400"/>
    <cellStyle name="Normal 4 3 4" xfId="397"/>
    <cellStyle name="Normal 4 4" xfId="109"/>
    <cellStyle name="Normal 4 5" xfId="131"/>
    <cellStyle name="Normal 4 6" xfId="152"/>
    <cellStyle name="Normal 5" xfId="67"/>
    <cellStyle name="Normal 5 2" xfId="166"/>
    <cellStyle name="Normal 5 3" xfId="135"/>
    <cellStyle name="Normal 6" xfId="47"/>
    <cellStyle name="Normal 6 2" xfId="91"/>
    <cellStyle name="Normal 6 2 2" xfId="175"/>
    <cellStyle name="Normal 6 2 3" xfId="164"/>
    <cellStyle name="Normal 6 2 3 2" xfId="255"/>
    <cellStyle name="Normal 6 2 3 2 2" xfId="404"/>
    <cellStyle name="Normal 6 2 3 3" xfId="403"/>
    <cellStyle name="Normal 6 2 4" xfId="110"/>
    <cellStyle name="Normal 6 2 5" xfId="226"/>
    <cellStyle name="Normal 6 2 5 2" xfId="405"/>
    <cellStyle name="Normal 6 2 6" xfId="402"/>
    <cellStyle name="Normal 6 3" xfId="157"/>
    <cellStyle name="Normal 6 3 2" xfId="250"/>
    <cellStyle name="Normal 6 3 2 2" xfId="407"/>
    <cellStyle name="Normal 6 3 3" xfId="406"/>
    <cellStyle name="Normal 6 4" xfId="195"/>
    <cellStyle name="Normal 6 4 2" xfId="408"/>
    <cellStyle name="Normal 6 5" xfId="401"/>
    <cellStyle name="Normal 7" xfId="76"/>
    <cellStyle name="Normal 7 2" xfId="113"/>
    <cellStyle name="Normal 7 2 2" xfId="124"/>
    <cellStyle name="Normal 7 3" xfId="134"/>
    <cellStyle name="Normal 7 4" xfId="162"/>
    <cellStyle name="Normal 7 5" xfId="178"/>
    <cellStyle name="Normal 7 6" xfId="107"/>
    <cellStyle name="Normal 7 7" xfId="211"/>
    <cellStyle name="Normal 7 7 2" xfId="409"/>
    <cellStyle name="Normal 7 8" xfId="410"/>
    <cellStyle name="Normal 8" xfId="117"/>
    <cellStyle name="Normal 8 2" xfId="141"/>
    <cellStyle name="Normal 9" xfId="111"/>
    <cellStyle name="Normal 9 2" xfId="242"/>
    <cellStyle name="Normal 9 2 2" xfId="412"/>
    <cellStyle name="Normal 9 3" xfId="411"/>
    <cellStyle name="Note 2" xfId="45"/>
    <cellStyle name="Note 2 2" xfId="69"/>
    <cellStyle name="Note 2 2 2" xfId="105"/>
    <cellStyle name="Note 2 2 2 2" xfId="240"/>
    <cellStyle name="Note 2 2 2 2 2" xfId="416"/>
    <cellStyle name="Note 2 2 2 3" xfId="415"/>
    <cellStyle name="Note 2 2 3" xfId="209"/>
    <cellStyle name="Note 2 2 3 2" xfId="417"/>
    <cellStyle name="Note 2 2 4" xfId="414"/>
    <cellStyle name="Note 2 3" xfId="90"/>
    <cellStyle name="Note 2 3 2" xfId="158"/>
    <cellStyle name="Note 2 3 2 2" xfId="251"/>
    <cellStyle name="Note 2 3 2 2 2" xfId="420"/>
    <cellStyle name="Note 2 3 2 3" xfId="419"/>
    <cellStyle name="Note 2 3 3" xfId="225"/>
    <cellStyle name="Note 2 3 3 2" xfId="421"/>
    <cellStyle name="Note 2 3 4" xfId="418"/>
    <cellStyle name="Note 2 4" xfId="176"/>
    <cellStyle name="Note 2 5" xfId="150"/>
    <cellStyle name="Note 2 6" xfId="194"/>
    <cellStyle name="Note 2 6 2" xfId="422"/>
    <cellStyle name="Note 2 7" xfId="413"/>
    <cellStyle name="Note 3" xfId="133"/>
    <cellStyle name="Note 3 2" xfId="143"/>
    <cellStyle name="Note 3 2 2" xfId="161"/>
    <cellStyle name="Note 3 2 2 2" xfId="254"/>
    <cellStyle name="Note 3 2 2 2 2" xfId="425"/>
    <cellStyle name="Note 3 2 2 3" xfId="424"/>
    <cellStyle name="Note 3 2 3" xfId="246"/>
    <cellStyle name="Note 3 2 3 2" xfId="426"/>
    <cellStyle name="Note 3 2 4" xfId="423"/>
    <cellStyle name="Note 3 3" xfId="177"/>
    <cellStyle name="Note 4" xfId="149"/>
    <cellStyle name="Note 5" xfId="122"/>
    <cellStyle name="Note 6" xfId="142"/>
    <cellStyle name="Note 7" xfId="258"/>
    <cellStyle name="Output" xfId="13" builtinId="21" customBuiltin="1"/>
    <cellStyle name="Percent" xfId="3" builtinId="5"/>
    <cellStyle name="Percent 2" xfId="63"/>
    <cellStyle name="Percent 3" xfId="116"/>
    <cellStyle name="Percent 4" xfId="123"/>
    <cellStyle name="Title" xfId="4" builtinId="15" customBuiltin="1"/>
    <cellStyle name="Total" xfId="19" builtinId="25" customBuiltin="1"/>
    <cellStyle name="Warning Text" xfId="17" builtinId="11" customBuiltin="1"/>
  </cellStyles>
  <dxfs count="2">
    <dxf>
      <fill>
        <gradientFill degree="45">
          <stop position="0">
            <color rgb="FFFF0000"/>
          </stop>
          <stop position="1">
            <color theme="0"/>
          </stop>
        </gradientFill>
      </fill>
    </dxf>
    <dxf>
      <fill>
        <gradientFill degree="45">
          <stop position="0">
            <color rgb="FFFFFF00"/>
          </stop>
          <stop position="1">
            <color rgb="FFFFC000"/>
          </stop>
        </gradient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0</xdr:col>
      <xdr:colOff>571500</xdr:colOff>
      <xdr:row>0</xdr:row>
      <xdr:rowOff>495300</xdr:rowOff>
    </xdr:to>
    <xdr:sp macro="[0]!LMpull" textlink="">
      <xdr:nvSpPr>
        <xdr:cNvPr id="2" name="Rounded Rectangle 1"/>
        <xdr:cNvSpPr/>
      </xdr:nvSpPr>
      <xdr:spPr>
        <a:xfrm>
          <a:off x="47625" y="85725"/>
          <a:ext cx="523875" cy="409575"/>
        </a:xfrm>
        <a:prstGeom prst="roundRect">
          <a:avLst/>
        </a:prstGeom>
        <a:gradFill flip="none" rotWithShape="1">
          <a:gsLst>
            <a:gs pos="0">
              <a:srgbClr val="00B0F0">
                <a:tint val="66000"/>
                <a:satMod val="160000"/>
              </a:srgbClr>
            </a:gs>
            <a:gs pos="50000">
              <a:srgbClr val="00B0F0">
                <a:tint val="44500"/>
                <a:satMod val="160000"/>
              </a:srgbClr>
            </a:gs>
            <a:gs pos="100000">
              <a:srgbClr val="00B0F0">
                <a:tint val="23500"/>
                <a:satMod val="160000"/>
              </a:srgbClr>
            </a:gs>
          </a:gsLst>
          <a:lin ang="13500000" scaled="1"/>
          <a:tileRect/>
        </a:gradFill>
        <a:ln w="3175"/>
        <a:effectLst>
          <a:reflection blurRad="6350" stA="50000" endA="300" endPos="55000" dir="5400000" sy="-100000" algn="bl" rotWithShape="0"/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800" baseline="0">
              <a:solidFill>
                <a:srgbClr val="002060"/>
              </a:solidFill>
            </a:rPr>
            <a:t>Import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Z309"/>
  <sheetViews>
    <sheetView tabSelected="1" showOutlineSymbol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2.75"/>
  <cols>
    <col min="1" max="1" width="5.7109375" style="82" customWidth="1"/>
    <col min="2" max="2" width="9.85546875" style="4" bestFit="1" customWidth="1"/>
    <col min="3" max="3" width="21.140625" style="4" bestFit="1" customWidth="1"/>
    <col min="4" max="5" width="8.7109375" style="4" hidden="1" customWidth="1"/>
    <col min="6" max="6" width="9.7109375" style="4" customWidth="1"/>
    <col min="7" max="8" width="8.7109375" style="4" hidden="1" customWidth="1"/>
    <col min="9" max="9" width="9.7109375" style="4" customWidth="1"/>
    <col min="10" max="10" width="11.28515625" style="4" hidden="1" customWidth="1"/>
    <col min="11" max="11" width="9.7109375" style="4" customWidth="1"/>
    <col min="12" max="12" width="8" style="4" bestFit="1" customWidth="1"/>
    <col min="13" max="13" width="8.28515625" style="4" bestFit="1" customWidth="1"/>
    <col min="14" max="14" width="8.85546875" style="4" customWidth="1"/>
    <col min="15" max="15" width="7.7109375" style="4" bestFit="1" customWidth="1"/>
    <col min="16" max="16" width="8.42578125" style="121" hidden="1" customWidth="1"/>
    <col min="17" max="17" width="8.28515625" style="121" hidden="1" customWidth="1"/>
    <col min="18" max="18" width="8.28515625" style="122" hidden="1" customWidth="1"/>
    <col min="19" max="19" width="8" style="4" bestFit="1" customWidth="1"/>
    <col min="20" max="20" width="8.42578125" style="4" customWidth="1"/>
    <col min="21" max="21" width="7" style="4" customWidth="1"/>
    <col min="22" max="23" width="7" style="4" hidden="1" customWidth="1"/>
    <col min="24" max="24" width="7.85546875" style="4" customWidth="1"/>
    <col min="25" max="26" width="7.85546875" style="4" bestFit="1" customWidth="1"/>
    <col min="27" max="27" width="7.140625" style="4" bestFit="1" customWidth="1"/>
    <col min="28" max="28" width="8" style="4" customWidth="1"/>
    <col min="29" max="30" width="7.140625" style="4" bestFit="1" customWidth="1"/>
    <col min="31" max="31" width="8" style="4" customWidth="1"/>
    <col min="32" max="32" width="7.140625" style="4" customWidth="1"/>
    <col min="33" max="33" width="7" style="4" bestFit="1" customWidth="1"/>
    <col min="34" max="34" width="7.140625" style="4" customWidth="1"/>
    <col min="35" max="35" width="7.5703125" style="1" customWidth="1"/>
    <col min="36" max="36" width="7.28515625" style="4" customWidth="1"/>
    <col min="37" max="38" width="7.140625" style="4" bestFit="1" customWidth="1"/>
    <col min="39" max="39" width="6" style="4" customWidth="1"/>
    <col min="40" max="40" width="7" style="4" customWidth="1"/>
    <col min="41" max="41" width="5.42578125" style="4" bestFit="1" customWidth="1"/>
    <col min="42" max="42" width="12" style="4" bestFit="1" customWidth="1"/>
    <col min="43" max="43" width="7.85546875" style="4" customWidth="1"/>
    <col min="44" max="44" width="7.85546875" style="4" bestFit="1" customWidth="1"/>
    <col min="45" max="45" width="7.85546875" style="4" hidden="1" customWidth="1"/>
    <col min="46" max="46" width="7.85546875" style="4" bestFit="1" customWidth="1"/>
    <col min="47" max="47" width="8.5703125" style="4" customWidth="1"/>
    <col min="48" max="50" width="2.7109375" style="4" customWidth="1"/>
    <col min="51" max="51" width="10.85546875" style="4" customWidth="1"/>
    <col min="52" max="54" width="10.85546875" style="4" bestFit="1" customWidth="1"/>
    <col min="55" max="55" width="6.5703125" style="4" customWidth="1"/>
    <col min="56" max="56" width="6.85546875" style="4" customWidth="1"/>
    <col min="57" max="57" width="7.7109375" style="2" customWidth="1"/>
    <col min="58" max="58" width="7.42578125" style="4" customWidth="1"/>
    <col min="59" max="60" width="10.7109375" style="4" customWidth="1"/>
    <col min="61" max="61" width="8" style="4" customWidth="1"/>
    <col min="62" max="64" width="10.5703125" style="4" customWidth="1"/>
    <col min="65" max="71" width="9.140625" style="4" bestFit="1" customWidth="1"/>
    <col min="72" max="72" width="9.28515625" style="4" bestFit="1" customWidth="1"/>
    <col min="73" max="81" width="9.140625" style="4" bestFit="1" customWidth="1"/>
    <col min="82" max="82" width="9.5703125" style="4" customWidth="1"/>
    <col min="83" max="83" width="9.140625" style="4" bestFit="1" customWidth="1"/>
    <col min="84" max="86" width="9.140625" style="3" bestFit="1" customWidth="1"/>
    <col min="87" max="87" width="9.140625" style="86" bestFit="1" customWidth="1"/>
    <col min="88" max="100" width="9.140625" style="4" bestFit="1" customWidth="1"/>
    <col min="101" max="101" width="8.85546875" style="4"/>
    <col min="102" max="102" width="11.7109375" style="4" bestFit="1" customWidth="1"/>
    <col min="103" max="16384" width="8.85546875" style="4"/>
  </cols>
  <sheetData>
    <row r="1" spans="1:104">
      <c r="B1" s="190" t="s">
        <v>959</v>
      </c>
      <c r="C1" s="82"/>
      <c r="F1" s="82" t="s">
        <v>162</v>
      </c>
      <c r="G1" s="82"/>
      <c r="H1" s="82"/>
      <c r="I1" s="82" t="s">
        <v>163</v>
      </c>
      <c r="J1" s="82"/>
      <c r="K1" s="82" t="s">
        <v>164</v>
      </c>
      <c r="L1" s="82" t="s">
        <v>165</v>
      </c>
      <c r="M1" s="82" t="s">
        <v>166</v>
      </c>
      <c r="N1" s="82"/>
      <c r="O1" s="82" t="s">
        <v>167</v>
      </c>
      <c r="P1" s="82"/>
      <c r="Q1" s="82"/>
      <c r="R1" s="82"/>
      <c r="S1" s="82" t="s">
        <v>168</v>
      </c>
      <c r="T1" s="82" t="s">
        <v>195</v>
      </c>
      <c r="U1" s="82" t="s">
        <v>169</v>
      </c>
      <c r="V1" s="82"/>
      <c r="W1" s="82"/>
      <c r="X1" s="82" t="s">
        <v>170</v>
      </c>
      <c r="Y1" s="82" t="s">
        <v>171</v>
      </c>
      <c r="Z1" s="82" t="s">
        <v>172</v>
      </c>
      <c r="AA1" s="82" t="s">
        <v>173</v>
      </c>
      <c r="AB1" s="82" t="s">
        <v>174</v>
      </c>
      <c r="AC1" s="82" t="s">
        <v>175</v>
      </c>
      <c r="AD1" s="82" t="s">
        <v>176</v>
      </c>
      <c r="AE1" s="82" t="s">
        <v>177</v>
      </c>
      <c r="AF1" s="82" t="s">
        <v>178</v>
      </c>
      <c r="AG1" s="82" t="s">
        <v>179</v>
      </c>
      <c r="AH1" s="82" t="s">
        <v>180</v>
      </c>
      <c r="AI1" s="82" t="s">
        <v>181</v>
      </c>
      <c r="AJ1" s="82" t="s">
        <v>182</v>
      </c>
      <c r="AK1" s="82" t="s">
        <v>183</v>
      </c>
      <c r="AL1" s="82" t="s">
        <v>184</v>
      </c>
      <c r="AM1" s="82" t="s">
        <v>185</v>
      </c>
      <c r="AN1" s="82" t="s">
        <v>186</v>
      </c>
      <c r="AO1" s="82" t="s">
        <v>187</v>
      </c>
      <c r="AP1" s="82" t="s">
        <v>188</v>
      </c>
      <c r="AQ1" s="82" t="s">
        <v>189</v>
      </c>
      <c r="AR1" s="82"/>
      <c r="AS1" s="82"/>
      <c r="AT1" s="82" t="s">
        <v>265</v>
      </c>
      <c r="AU1" s="82" t="s">
        <v>266</v>
      </c>
      <c r="AV1" s="82"/>
      <c r="AW1" s="82"/>
      <c r="AX1" s="83"/>
      <c r="AY1" s="83"/>
      <c r="AZ1" s="83" t="s">
        <v>190</v>
      </c>
      <c r="BA1" s="83" t="s">
        <v>191</v>
      </c>
      <c r="BB1" s="83" t="s">
        <v>192</v>
      </c>
      <c r="BC1" s="83"/>
      <c r="BD1" s="83"/>
      <c r="BE1" s="84"/>
      <c r="BF1" s="83" t="s">
        <v>193</v>
      </c>
      <c r="BG1" s="83" t="s">
        <v>194</v>
      </c>
      <c r="BH1" s="83" t="s">
        <v>267</v>
      </c>
      <c r="BI1" s="83" t="s">
        <v>268</v>
      </c>
      <c r="BJ1" s="83" t="s">
        <v>269</v>
      </c>
      <c r="BK1" s="83" t="s">
        <v>270</v>
      </c>
      <c r="BL1" s="83" t="s">
        <v>271</v>
      </c>
      <c r="BN1" s="85"/>
      <c r="BO1" s="85"/>
      <c r="BP1" s="85"/>
      <c r="BQ1" s="85"/>
      <c r="BR1" s="85"/>
      <c r="BS1" s="85"/>
      <c r="BT1" s="85"/>
      <c r="BU1" s="85"/>
      <c r="BV1" s="85"/>
      <c r="BW1" s="85"/>
      <c r="BZ1" s="7"/>
      <c r="CD1" s="4" t="s">
        <v>1</v>
      </c>
      <c r="CJ1" s="3"/>
      <c r="CK1" s="3"/>
      <c r="CL1" s="3"/>
      <c r="CM1" s="3"/>
    </row>
    <row r="2" spans="1:104">
      <c r="A2" s="82" t="s">
        <v>1</v>
      </c>
      <c r="B2" s="87">
        <v>41806</v>
      </c>
      <c r="C2" s="82"/>
      <c r="D2" s="88"/>
      <c r="E2" s="88"/>
      <c r="F2" s="88"/>
      <c r="G2" s="88"/>
      <c r="H2" s="82"/>
      <c r="I2" s="82"/>
      <c r="J2" s="82"/>
      <c r="K2" s="82"/>
      <c r="L2" s="82"/>
      <c r="M2" s="82"/>
      <c r="N2" s="82"/>
      <c r="O2" s="82"/>
      <c r="P2" s="89"/>
      <c r="Q2" s="89"/>
      <c r="R2" s="90"/>
      <c r="S2" s="82"/>
      <c r="T2" s="82"/>
      <c r="U2" s="82"/>
      <c r="V2" s="82"/>
      <c r="W2" s="82"/>
      <c r="X2" s="82" t="s">
        <v>1</v>
      </c>
      <c r="Y2" s="82"/>
      <c r="Z2" s="82" t="s">
        <v>1</v>
      </c>
      <c r="AA2" s="82" t="s">
        <v>1</v>
      </c>
      <c r="AB2" s="82" t="s">
        <v>1</v>
      </c>
      <c r="AC2" s="82" t="s">
        <v>1</v>
      </c>
      <c r="AD2" s="82"/>
      <c r="AE2" s="82"/>
      <c r="AF2" s="82"/>
      <c r="AG2" s="82" t="s">
        <v>1</v>
      </c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91"/>
      <c r="AW2" s="91"/>
      <c r="AX2" s="91"/>
      <c r="AY2" s="82"/>
      <c r="AZ2" s="83" t="s">
        <v>1</v>
      </c>
      <c r="BA2" s="83" t="s">
        <v>2</v>
      </c>
      <c r="BB2" s="83"/>
      <c r="BC2" s="83"/>
      <c r="BD2" s="83"/>
      <c r="BE2" s="84"/>
      <c r="BF2" s="83"/>
      <c r="BG2" s="83" t="s">
        <v>1</v>
      </c>
      <c r="BH2" s="83"/>
      <c r="BI2" s="83"/>
      <c r="BJ2" s="82"/>
      <c r="BK2" s="82" t="s">
        <v>1</v>
      </c>
      <c r="BL2" s="82"/>
      <c r="BM2" s="92"/>
      <c r="BN2" s="191" t="s">
        <v>242</v>
      </c>
      <c r="BO2" s="192"/>
      <c r="BP2" s="192"/>
      <c r="BQ2" s="192"/>
      <c r="BR2" s="192"/>
      <c r="BS2" s="192"/>
      <c r="BT2" s="192"/>
      <c r="BU2" s="192"/>
      <c r="BV2" s="192"/>
      <c r="BW2" s="193"/>
      <c r="BX2" s="93" t="s">
        <v>243</v>
      </c>
      <c r="CC2" s="194" t="s">
        <v>226</v>
      </c>
      <c r="CD2" s="195"/>
      <c r="CE2" s="195"/>
      <c r="CF2" s="195"/>
      <c r="CG2" s="195"/>
      <c r="CH2" s="196"/>
      <c r="CI2" s="197" t="s">
        <v>230</v>
      </c>
      <c r="CJ2" s="198"/>
      <c r="CK2" s="198"/>
      <c r="CL2" s="198"/>
      <c r="CM2" s="199"/>
      <c r="CN2" s="197" t="s">
        <v>241</v>
      </c>
      <c r="CO2" s="198"/>
      <c r="CP2" s="198"/>
      <c r="CQ2" s="198"/>
      <c r="CR2" s="198"/>
      <c r="CS2" s="198"/>
      <c r="CT2" s="198"/>
      <c r="CU2" s="198"/>
      <c r="CV2" s="199"/>
      <c r="CW2" s="197" t="s">
        <v>272</v>
      </c>
      <c r="CX2" s="198"/>
      <c r="CY2" s="198"/>
      <c r="CZ2" s="92"/>
    </row>
    <row r="3" spans="1:104" ht="76.5">
      <c r="A3" s="94" t="s">
        <v>197</v>
      </c>
      <c r="B3" s="94" t="s">
        <v>198</v>
      </c>
      <c r="C3" s="94" t="s">
        <v>199</v>
      </c>
      <c r="D3" s="95" t="s">
        <v>625</v>
      </c>
      <c r="E3" s="95" t="s">
        <v>626</v>
      </c>
      <c r="F3" s="95" t="s">
        <v>627</v>
      </c>
      <c r="G3" s="95" t="s">
        <v>950</v>
      </c>
      <c r="H3" s="95" t="s">
        <v>951</v>
      </c>
      <c r="I3" s="95" t="s">
        <v>952</v>
      </c>
      <c r="J3" s="95" t="s">
        <v>953</v>
      </c>
      <c r="K3" s="95" t="s">
        <v>954</v>
      </c>
      <c r="L3" s="95" t="s">
        <v>196</v>
      </c>
      <c r="M3" s="95" t="s">
        <v>949</v>
      </c>
      <c r="N3" s="95" t="s">
        <v>200</v>
      </c>
      <c r="O3" s="95" t="s">
        <v>201</v>
      </c>
      <c r="P3" s="95" t="s">
        <v>946</v>
      </c>
      <c r="Q3" s="95" t="s">
        <v>947</v>
      </c>
      <c r="R3" s="95" t="s">
        <v>948</v>
      </c>
      <c r="S3" s="95" t="s">
        <v>202</v>
      </c>
      <c r="T3" s="95" t="s">
        <v>933</v>
      </c>
      <c r="U3" s="95" t="s">
        <v>274</v>
      </c>
      <c r="V3" s="95" t="s">
        <v>203</v>
      </c>
      <c r="W3" s="95" t="s">
        <v>204</v>
      </c>
      <c r="X3" s="95" t="s">
        <v>955</v>
      </c>
      <c r="Y3" s="95" t="s">
        <v>956</v>
      </c>
      <c r="Z3" s="95" t="s">
        <v>205</v>
      </c>
      <c r="AA3" s="95" t="s">
        <v>206</v>
      </c>
      <c r="AB3" s="95" t="s">
        <v>207</v>
      </c>
      <c r="AC3" s="95" t="s">
        <v>208</v>
      </c>
      <c r="AD3" s="95" t="s">
        <v>209</v>
      </c>
      <c r="AE3" s="95" t="s">
        <v>934</v>
      </c>
      <c r="AF3" s="95" t="s">
        <v>210</v>
      </c>
      <c r="AG3" s="95" t="s">
        <v>211</v>
      </c>
      <c r="AH3" s="95" t="s">
        <v>212</v>
      </c>
      <c r="AI3" s="95" t="s">
        <v>255</v>
      </c>
      <c r="AJ3" s="95" t="s">
        <v>256</v>
      </c>
      <c r="AK3" s="95" t="s">
        <v>253</v>
      </c>
      <c r="AL3" s="95" t="s">
        <v>254</v>
      </c>
      <c r="AM3" s="95" t="s">
        <v>213</v>
      </c>
      <c r="AN3" s="95" t="s">
        <v>252</v>
      </c>
      <c r="AO3" s="95" t="s">
        <v>248</v>
      </c>
      <c r="AP3" s="95" t="s">
        <v>935</v>
      </c>
      <c r="AQ3" s="95" t="s">
        <v>257</v>
      </c>
      <c r="AR3" s="95" t="s">
        <v>936</v>
      </c>
      <c r="AS3" s="95" t="s">
        <v>938</v>
      </c>
      <c r="AT3" s="95" t="s">
        <v>937</v>
      </c>
      <c r="AU3" s="95" t="s">
        <v>264</v>
      </c>
      <c r="AV3" s="96" t="s">
        <v>245</v>
      </c>
      <c r="AW3" s="96" t="s">
        <v>246</v>
      </c>
      <c r="AX3" s="96" t="s">
        <v>247</v>
      </c>
      <c r="AY3" s="95" t="s">
        <v>214</v>
      </c>
      <c r="AZ3" s="95" t="s">
        <v>215</v>
      </c>
      <c r="BA3" s="95" t="s">
        <v>216</v>
      </c>
      <c r="BB3" s="95" t="s">
        <v>939</v>
      </c>
      <c r="BC3" s="95" t="s">
        <v>217</v>
      </c>
      <c r="BD3" s="95" t="s">
        <v>943</v>
      </c>
      <c r="BE3" s="95" t="s">
        <v>940</v>
      </c>
      <c r="BF3" s="95" t="s">
        <v>942</v>
      </c>
      <c r="BG3" s="95" t="s">
        <v>941</v>
      </c>
      <c r="BH3" s="95" t="s">
        <v>624</v>
      </c>
      <c r="BI3" s="95" t="s">
        <v>944</v>
      </c>
      <c r="BJ3" s="95" t="s">
        <v>218</v>
      </c>
      <c r="BK3" s="95" t="s">
        <v>219</v>
      </c>
      <c r="BL3" s="97" t="s">
        <v>220</v>
      </c>
      <c r="BM3" s="98" t="s">
        <v>234</v>
      </c>
      <c r="BN3" s="99" t="s">
        <v>4</v>
      </c>
      <c r="BO3" s="100"/>
      <c r="BP3" s="100"/>
      <c r="BQ3" s="100"/>
      <c r="BR3" s="100" t="s">
        <v>5</v>
      </c>
      <c r="BS3" s="101"/>
      <c r="BT3" s="100"/>
      <c r="BU3" s="100"/>
      <c r="BV3" s="100" t="s">
        <v>135</v>
      </c>
      <c r="BW3" s="102" t="s">
        <v>221</v>
      </c>
      <c r="BX3" s="100" t="s">
        <v>222</v>
      </c>
      <c r="BY3" s="100" t="s">
        <v>3</v>
      </c>
      <c r="BZ3" s="100" t="s">
        <v>223</v>
      </c>
      <c r="CA3" s="100" t="s">
        <v>224</v>
      </c>
      <c r="CB3" s="100" t="s">
        <v>225</v>
      </c>
      <c r="CC3" s="103" t="s">
        <v>249</v>
      </c>
      <c r="CD3" s="104" t="s">
        <v>250</v>
      </c>
      <c r="CE3" s="104" t="s">
        <v>251</v>
      </c>
      <c r="CF3" s="105" t="s">
        <v>227</v>
      </c>
      <c r="CG3" s="105" t="s">
        <v>228</v>
      </c>
      <c r="CH3" s="106" t="s">
        <v>229</v>
      </c>
      <c r="CI3" s="100" t="s">
        <v>945</v>
      </c>
      <c r="CJ3" s="100" t="s">
        <v>231</v>
      </c>
      <c r="CK3" s="100" t="s">
        <v>233</v>
      </c>
      <c r="CL3" s="100" t="s">
        <v>232</v>
      </c>
      <c r="CM3" s="106" t="s">
        <v>928</v>
      </c>
      <c r="CN3" s="99" t="s">
        <v>957</v>
      </c>
      <c r="CO3" s="105" t="s">
        <v>958</v>
      </c>
      <c r="CP3" s="105" t="s">
        <v>235</v>
      </c>
      <c r="CQ3" s="105" t="s">
        <v>244</v>
      </c>
      <c r="CR3" s="105" t="s">
        <v>236</v>
      </c>
      <c r="CS3" s="105" t="s">
        <v>237</v>
      </c>
      <c r="CT3" s="105" t="s">
        <v>238</v>
      </c>
      <c r="CU3" s="105" t="s">
        <v>239</v>
      </c>
      <c r="CV3" s="106" t="s">
        <v>240</v>
      </c>
      <c r="CW3" s="95" t="s">
        <v>273</v>
      </c>
      <c r="CX3" s="95" t="s">
        <v>628</v>
      </c>
      <c r="CY3" s="95" t="s">
        <v>264</v>
      </c>
      <c r="CZ3" s="107" t="s">
        <v>612</v>
      </c>
    </row>
    <row r="4" spans="1:104">
      <c r="A4" s="146" t="s">
        <v>276</v>
      </c>
      <c r="B4" s="146"/>
      <c r="C4" s="153" t="s">
        <v>922</v>
      </c>
      <c r="D4" s="147">
        <f t="shared" ref="D4:E4" si="0">SUM(D5:D290)</f>
        <v>446223.2</v>
      </c>
      <c r="E4" s="147">
        <f t="shared" si="0"/>
        <v>1082.4000000000001</v>
      </c>
      <c r="F4" s="147">
        <f>SUM(F5:F290)</f>
        <v>447305.6</v>
      </c>
      <c r="G4" s="147">
        <f t="shared" ref="G4:I4" si="1">SUM(G5:G290)</f>
        <v>447961.7</v>
      </c>
      <c r="H4" s="147">
        <f t="shared" si="1"/>
        <v>914.8</v>
      </c>
      <c r="I4" s="147">
        <f t="shared" si="1"/>
        <v>448876.5</v>
      </c>
      <c r="J4" s="147">
        <f t="shared" ref="J4" si="2">SUM(J5:J290)</f>
        <v>456698.9</v>
      </c>
      <c r="K4" s="147">
        <f t="shared" ref="K4" si="3">SUM(K5:K290)</f>
        <v>450333.5</v>
      </c>
      <c r="L4" s="147">
        <f t="shared" ref="L4" si="4">SUM(L5:L290)</f>
        <v>453934.8</v>
      </c>
      <c r="M4" s="147">
        <f t="shared" ref="M4" si="5">SUM(M5:M290)</f>
        <v>834.9</v>
      </c>
      <c r="N4" s="147">
        <f t="shared" ref="N4" si="6">SUM(N5:N290)</f>
        <v>454769.7</v>
      </c>
      <c r="O4" s="147">
        <f t="shared" ref="O4" si="7">SUM(O5:O290)</f>
        <v>3554.5</v>
      </c>
      <c r="P4" s="147">
        <f t="shared" ref="P4" si="8">SUM(P5:P290)</f>
        <v>453888</v>
      </c>
      <c r="Q4" s="147">
        <f t="shared" ref="Q4" si="9">SUM(Q5:Q290)</f>
        <v>460253.4</v>
      </c>
      <c r="R4" s="147">
        <f t="shared" ref="R4" si="10">SUM(R5:R290)</f>
        <v>461088.3</v>
      </c>
      <c r="S4" s="147">
        <f t="shared" ref="S4" si="11">SUM(S5:S290)</f>
        <v>458324.2</v>
      </c>
      <c r="T4" s="147">
        <f t="shared" ref="T4" si="12">SUM(T5:T290)</f>
        <v>6365.4</v>
      </c>
      <c r="U4" s="147">
        <f t="shared" ref="U4" si="13">SUM(U5:U290)</f>
        <v>54431.4</v>
      </c>
      <c r="V4" s="147">
        <f t="shared" ref="V4" si="14">SUM(V5:V290)</f>
        <v>42552.3</v>
      </c>
      <c r="W4" s="147">
        <f t="shared" ref="W4" si="15">SUM(W5:W290)</f>
        <v>11879.1</v>
      </c>
      <c r="X4" s="147">
        <f t="shared" ref="X4" si="16">SUM(X5:X290)</f>
        <v>91560.8</v>
      </c>
      <c r="Y4" s="147">
        <f t="shared" ref="Y4" si="17">SUM(Y5:Y290)</f>
        <v>7631.8</v>
      </c>
      <c r="Z4" s="147">
        <f t="shared" ref="Z4" si="18">SUM(Z5:Z290)</f>
        <v>152987.70000000001</v>
      </c>
      <c r="AA4" s="147">
        <f t="shared" ref="AA4" si="19">SUM(AA5:AA290)</f>
        <v>10071.799999999999</v>
      </c>
      <c r="AB4" s="147">
        <f t="shared" ref="AB4" si="20">SUM(AB5:AB290)</f>
        <v>196050</v>
      </c>
      <c r="AC4" s="147">
        <f t="shared" ref="AC4" si="21">SUM(AC5:AC290)</f>
        <v>89399.3</v>
      </c>
      <c r="AD4" s="147">
        <f t="shared" ref="AD4" si="22">SUM(AD5:AD290)</f>
        <v>13500.6</v>
      </c>
      <c r="AE4" s="147">
        <f t="shared" ref="AE4" si="23">SUM(AE5:AE290)</f>
        <v>27246</v>
      </c>
      <c r="AF4" s="147">
        <f t="shared" ref="AF4" si="24">SUM(AF5:AF290)</f>
        <v>1268.3</v>
      </c>
      <c r="AG4" s="147">
        <f t="shared" ref="AG4" si="25">SUM(AG5:AG290)</f>
        <v>14194.9</v>
      </c>
      <c r="AH4" s="147">
        <f t="shared" ref="AH4" si="26">SUM(AH5:AH290)</f>
        <v>3549.2</v>
      </c>
      <c r="AI4" s="147">
        <f t="shared" ref="AI4" si="27">SUM(AI5:AI290)</f>
        <v>133529.70000000001</v>
      </c>
      <c r="AJ4" s="147">
        <f t="shared" ref="AJ4" si="28">SUM(AJ5:AJ290)</f>
        <v>25910.7</v>
      </c>
      <c r="AK4" s="147">
        <f t="shared" ref="AK4" si="29">SUM(AK5:AK290)</f>
        <v>6093.6</v>
      </c>
      <c r="AL4" s="147">
        <f t="shared" ref="AL4" si="30">SUM(AL5:AL290)</f>
        <v>956.4</v>
      </c>
      <c r="AM4" s="147">
        <f t="shared" ref="AM4" si="31">SUM(AM5:AM290)</f>
        <v>5270.8</v>
      </c>
      <c r="AN4" s="147">
        <f t="shared" ref="AN4" si="32">SUM(AN5:AN290)</f>
        <v>6863.1</v>
      </c>
      <c r="AO4" s="147">
        <f t="shared" ref="AO4" si="33">SUM(AO5:AO290)</f>
        <v>46</v>
      </c>
      <c r="AP4" s="148">
        <f t="shared" ref="AP4" si="34">SUM(AP5:AP290)</f>
        <v>420494809</v>
      </c>
      <c r="AQ4" s="147">
        <f t="shared" ref="AQ4" si="35">SUM(AQ5:AQ290)</f>
        <v>109560.9</v>
      </c>
      <c r="AR4" s="147">
        <f t="shared" ref="AR4" si="36">SUM(AR5:AR290)</f>
        <v>683317.2</v>
      </c>
      <c r="AS4" s="147">
        <f t="shared" ref="AS4" si="37">SUM(AS5:AS290)</f>
        <v>787607.3</v>
      </c>
      <c r="AT4" s="147">
        <f t="shared" ref="AT4" si="38">SUM(AT5:AT290)</f>
        <v>792878.1</v>
      </c>
      <c r="AU4" s="148">
        <f t="shared" ref="AU4" si="39">SUM(AU5:AU290)</f>
        <v>6257531</v>
      </c>
      <c r="AV4" s="147"/>
      <c r="AW4" s="147"/>
      <c r="AX4" s="147"/>
      <c r="AY4" s="148">
        <f t="shared" ref="AY4" si="40">SUM(AY5:AY290)</f>
        <v>2634448827</v>
      </c>
      <c r="AZ4" s="148">
        <f t="shared" ref="AZ4" si="41">SUM(AZ5:AZ290)</f>
        <v>3054943550</v>
      </c>
      <c r="BA4" s="148">
        <f t="shared" ref="BA4" si="42">SUM(BA5:BA290)</f>
        <v>3111809326</v>
      </c>
      <c r="BB4" s="148">
        <f t="shared" ref="BB4" si="43">SUM(BB5:BB290)</f>
        <v>3054943550</v>
      </c>
      <c r="BC4" s="148">
        <f t="shared" ref="BC4" si="44">SUM(BC5:BC290)</f>
        <v>0</v>
      </c>
      <c r="BD4" s="148">
        <f t="shared" ref="BD4" si="45">SUM(BD5:BD290)</f>
        <v>-198432</v>
      </c>
      <c r="BE4" s="148">
        <f t="shared" ref="BE4" si="46">SUM(BE5:BE290)</f>
        <v>0</v>
      </c>
      <c r="BF4" s="148">
        <f t="shared" ref="BF4" si="47">SUM(BF5:BF290)</f>
        <v>-198432</v>
      </c>
      <c r="BG4" s="148">
        <f t="shared" ref="BG4" si="48">SUM(BG5:BG290)</f>
        <v>3054745118</v>
      </c>
      <c r="BH4" s="148">
        <f t="shared" ref="BH4" si="49">SUM(BH5:BH290)</f>
        <v>3470655142</v>
      </c>
      <c r="BI4" s="152">
        <f t="shared" ref="BI4" si="50">SUM(BI5:BI290)</f>
        <v>85.94</v>
      </c>
      <c r="BJ4" s="148">
        <f t="shared" ref="BJ4" si="51">SUM(BJ5:BJ290)</f>
        <v>1048272941</v>
      </c>
      <c r="BK4" s="148">
        <f t="shared" ref="BK4" si="52">SUM(BK5:BK290)</f>
        <v>1019925000</v>
      </c>
      <c r="BL4" s="148">
        <f t="shared" ref="BL4" si="53">SUM(BL5:BL290)</f>
        <v>1010020200</v>
      </c>
      <c r="BM4" s="161">
        <f>SUM(BM5:BM290)/296</f>
        <v>0.2757</v>
      </c>
      <c r="BN4" s="147">
        <f t="shared" ref="BN4" si="54">SUM(BN5:BN290)</f>
        <v>555.70000000000005</v>
      </c>
      <c r="BO4" s="147"/>
      <c r="BP4" s="147"/>
      <c r="BQ4" s="147"/>
      <c r="BR4" s="147">
        <f t="shared" ref="BR4" si="55">SUM(BR5:BR290)</f>
        <v>9257.2000000000007</v>
      </c>
      <c r="BS4" s="147"/>
      <c r="BT4" s="147"/>
      <c r="BU4" s="147"/>
      <c r="BV4" s="147">
        <f t="shared" ref="BV4" si="56">SUM(BV5:BV290)</f>
        <v>32739.4</v>
      </c>
      <c r="BW4" s="147">
        <f t="shared" ref="BW4" si="57">SUM(BW5:BW290)</f>
        <v>11879.1</v>
      </c>
      <c r="BX4" s="147">
        <f t="shared" ref="BX4" si="58">SUM(BX5:BX290)</f>
        <v>82019.7</v>
      </c>
      <c r="BY4" s="150">
        <f t="shared" ref="BY4" si="59">SUM(BY5:BY290)</f>
        <v>1367.44</v>
      </c>
      <c r="BZ4" s="150">
        <f t="shared" ref="BZ4" si="60">SUM(BZ5:BZ290)</f>
        <v>318534.75</v>
      </c>
      <c r="CA4" s="151">
        <f t="shared" ref="CA4" si="61">SUM(CA5:CA290)</f>
        <v>82.994100000000003</v>
      </c>
      <c r="CB4" s="147">
        <f t="shared" ref="CB4" si="62">SUM(CB5:CB290)</f>
        <v>25910.7</v>
      </c>
      <c r="CC4" s="148">
        <f t="shared" ref="CC4" si="63">SUM(CC5:CC290)</f>
        <v>23387298</v>
      </c>
      <c r="CD4" s="148">
        <f t="shared" ref="CD4" si="64">SUM(CD5:CD290)</f>
        <v>3670673</v>
      </c>
      <c r="CE4" s="148">
        <f t="shared" ref="CE4:CH4" si="65">SUM(CE5:CE290)</f>
        <v>20390230</v>
      </c>
      <c r="CF4" s="148"/>
      <c r="CG4" s="148"/>
      <c r="CH4" s="148">
        <f t="shared" si="65"/>
        <v>20229026</v>
      </c>
      <c r="CI4" s="149"/>
      <c r="CJ4" s="147"/>
      <c r="CK4" s="147">
        <f t="shared" ref="CK4:CM4" si="66">SUM(CK5:CK290)</f>
        <v>11499.3</v>
      </c>
      <c r="CL4" s="147">
        <f t="shared" si="66"/>
        <v>7050.8</v>
      </c>
      <c r="CM4" s="147">
        <f t="shared" si="66"/>
        <v>2001.3</v>
      </c>
      <c r="CN4" s="147">
        <f t="shared" ref="CN4" si="67">SUM(CN5:CN290)</f>
        <v>6365.4</v>
      </c>
      <c r="CO4" s="147">
        <f t="shared" ref="CO4" si="68">SUM(CO5:CO290)</f>
        <v>6684</v>
      </c>
      <c r="CP4" s="147">
        <f t="shared" ref="CP4" si="69">SUM(CP5:CP290)</f>
        <v>702</v>
      </c>
      <c r="CQ4" s="147">
        <f t="shared" ref="CQ4" si="70">SUM(CQ5:CQ290)</f>
        <v>175.8</v>
      </c>
      <c r="CR4" s="147">
        <f t="shared" ref="CR4" si="71">SUM(CR5:CR290)</f>
        <v>15</v>
      </c>
      <c r="CS4" s="147">
        <f t="shared" ref="CS4" si="72">SUM(CS5:CS290)</f>
        <v>1.1000000000000001</v>
      </c>
      <c r="CT4" s="147">
        <f t="shared" ref="CT4" si="73">SUM(CT5:CT290)</f>
        <v>28</v>
      </c>
      <c r="CU4" s="147">
        <f t="shared" ref="CU4" si="74">SUM(CU5:CU290)</f>
        <v>2.2000000000000002</v>
      </c>
      <c r="CV4" s="147">
        <f t="shared" ref="CV4" si="75">SUM(CV5:CV290)</f>
        <v>6863.1</v>
      </c>
      <c r="CW4" s="148">
        <f t="shared" ref="CW4" si="76">SUM(CW5:CW290)</f>
        <v>6434492</v>
      </c>
      <c r="CX4" s="148">
        <f t="shared" ref="CX4" si="77">SUM(CX5:CX290)</f>
        <v>29631050</v>
      </c>
      <c r="CY4" s="148">
        <f t="shared" ref="CY4" si="78">SUM(CY5:CY290)</f>
        <v>6434492</v>
      </c>
      <c r="CZ4" s="147"/>
    </row>
    <row r="5" spans="1:104">
      <c r="A5" s="82">
        <v>101</v>
      </c>
      <c r="B5" s="4" t="s">
        <v>6</v>
      </c>
      <c r="C5" s="4" t="s">
        <v>632</v>
      </c>
      <c r="D5" s="1">
        <v>499.5</v>
      </c>
      <c r="E5" s="1">
        <v>0</v>
      </c>
      <c r="F5" s="1">
        <f>D5+E5</f>
        <v>499.5</v>
      </c>
      <c r="G5" s="1">
        <v>520</v>
      </c>
      <c r="H5" s="1">
        <v>0</v>
      </c>
      <c r="I5" s="1">
        <f>G5+H5</f>
        <v>520</v>
      </c>
      <c r="J5" s="1">
        <f t="shared" ref="J5:J68" si="79">K5+T5</f>
        <v>509</v>
      </c>
      <c r="K5" s="1">
        <f>IF(ISNA(VLOOKUP($CZ5,'Audit Values'!$A$2:$AE$439,2,FALSE)),'Preliminary SO66'!B2,VLOOKUP($CZ5,'Audit Values'!$A$2:$AE$439,31,FALSE))</f>
        <v>509</v>
      </c>
      <c r="L5" s="1">
        <f t="shared" ref="L5:L68" si="80">MAX(K5, I5,AVERAGE(F5, I5, K5))</f>
        <v>520</v>
      </c>
      <c r="M5" s="1">
        <f>IF(ISNA(VLOOKUP($CZ5,'Audit Values'!$A$2:$AE$439,2,FALSE)),'Preliminary SO66'!Z2,VLOOKUP($CZ5,'Audit Values'!$A$2:$AE$439,26,FALSE))</f>
        <v>0</v>
      </c>
      <c r="N5" s="1">
        <f t="shared" ref="N5:N68" si="81">L5+M5</f>
        <v>520</v>
      </c>
      <c r="O5" s="1">
        <f>IF(ISNA(VLOOKUP($CZ5,'Audit Values'!$A$2:$AE$439,2,FALSE)),'Preliminary SO66'!C2,IF(VLOOKUP($CZ5,'Audit Values'!$A$2:$AE$439,28,FALSE)="",VLOOKUP($CZ5,'Audit Values'!$A$2:$AE$439,3,FALSE),VLOOKUP($CZ5,'Audit Values'!$A$2:$AE$439,28,FALSE)))</f>
        <v>6</v>
      </c>
      <c r="P5" s="109">
        <f t="shared" ref="P5:P68" si="82">K5+O5</f>
        <v>515</v>
      </c>
      <c r="Q5" s="110">
        <f t="shared" ref="Q5:Q68" si="83">J5+O5</f>
        <v>515</v>
      </c>
      <c r="R5" s="111">
        <f t="shared" ref="R5:R68" si="84">J5+O5+M5</f>
        <v>515</v>
      </c>
      <c r="S5" s="1">
        <f t="shared" ref="S5:S68" si="85">L5+M5+O5</f>
        <v>526</v>
      </c>
      <c r="T5" s="1">
        <f t="shared" ref="T5:T13" si="86">CN5</f>
        <v>0</v>
      </c>
      <c r="U5" s="1">
        <f t="shared" ref="U5:U68" si="87">IF(L5&gt;0,MAX(BN5,BR5,BV5,BW5),0)</f>
        <v>214.3</v>
      </c>
      <c r="V5" s="1">
        <f t="shared" ref="V5:V71" si="88">MAX(BN5,BR5,BV5)</f>
        <v>214.3</v>
      </c>
      <c r="W5" s="1">
        <f t="shared" ref="W5:W71" si="89">BW5</f>
        <v>0</v>
      </c>
      <c r="X5" s="1">
        <f>IF(ISNA(VLOOKUP($CZ5,'Audit Values'!$A$2:$AE$439,2,FALSE)),'Preliminary SO66'!D2,VLOOKUP($CZ5,'Audit Values'!$A$2:$AE$439,4,FALSE))</f>
        <v>105.8</v>
      </c>
      <c r="Y5" s="1">
        <f>ROUND((X5/6)*Weightings!$M$6,1)</f>
        <v>8.8000000000000007</v>
      </c>
      <c r="Z5" s="1">
        <f>IF(ISNA(VLOOKUP($CZ5,'Audit Values'!$A$2:$AE$439,2,FALSE)),'Preliminary SO66'!F2,VLOOKUP($CZ5,'Audit Values'!$A$2:$AE$439,6,FALSE))</f>
        <v>12.6</v>
      </c>
      <c r="AA5" s="1">
        <f>ROUND((Z5/6)*Weightings!$M$7,1)</f>
        <v>0.8</v>
      </c>
      <c r="AB5" s="2">
        <f>IF(ISNA(VLOOKUP($CZ5,'Audit Values'!$A$2:$AE$439,2,FALSE)),'Preliminary SO66'!H2,VLOOKUP($CZ5,'Audit Values'!$A$2:$AE$439,8,FALSE))</f>
        <v>259</v>
      </c>
      <c r="AC5" s="1">
        <f>ROUND(AB5*Weightings!$M$8,1)</f>
        <v>118.1</v>
      </c>
      <c r="AD5" s="1">
        <f>MAX(CK5,CL5,CM5)</f>
        <v>25.7</v>
      </c>
      <c r="AE5" s="185">
        <v>34</v>
      </c>
      <c r="AF5" s="1">
        <f>AE5*Weightings!$M$9</f>
        <v>1.6</v>
      </c>
      <c r="AG5" s="1">
        <f>IF(ISNA(VLOOKUP($CZ5,'Audit Values'!$A$2:$AE$439,2,FALSE)),'Preliminary SO66'!L2,VLOOKUP($CZ5,'Audit Values'!$A$2:$AE$439,12,FALSE))</f>
        <v>16.2</v>
      </c>
      <c r="AH5" s="1">
        <f>ROUND(AG5*Weightings!$M$10,1)</f>
        <v>4.0999999999999996</v>
      </c>
      <c r="AI5" s="1">
        <f>IF(ISNA(VLOOKUP($CZ5,'Audit Values'!$A$2:$AE$439,2,FALSE)),'Preliminary SO66'!O2,VLOOKUP($CZ5,'Audit Values'!$A$2:$AE$439,15,FALSE))</f>
        <v>266</v>
      </c>
      <c r="AJ5" s="1">
        <f t="shared" ref="AJ5:AJ68" si="90">CB5</f>
        <v>72.7</v>
      </c>
      <c r="AK5" s="1">
        <f>CC5/Weightings!$M$5</f>
        <v>0</v>
      </c>
      <c r="AL5" s="1">
        <f>CD5/Weightings!$M$5</f>
        <v>0</v>
      </c>
      <c r="AM5" s="1">
        <f>CH5/Weightings!$M$5</f>
        <v>0</v>
      </c>
      <c r="AN5" s="1">
        <f>CV5</f>
        <v>0</v>
      </c>
      <c r="AO5" s="1">
        <f>IF(ISNA(VLOOKUP($CZ5,'Audit Values'!$A$2:$AE$439,2,FALSE)),'Preliminary SO66'!X2,VLOOKUP($CZ5,'Audit Values'!$A$2:$AE$439,24,FALSE))</f>
        <v>0</v>
      </c>
      <c r="AP5" s="188">
        <v>646321</v>
      </c>
      <c r="AQ5" s="113">
        <f>AP5/Weightings!$M$5</f>
        <v>168.4</v>
      </c>
      <c r="AR5" s="113">
        <f t="shared" ref="AR5:AR68" si="91">SUM(S5+ U5+ Y5+ AA5+ AC5+ AH5+ AJ5+ AK5+ AL5+ AD5+AF5+AM5+AN5+AO5)</f>
        <v>972.1</v>
      </c>
      <c r="AS5" s="1">
        <f t="shared" ref="AS5:AS68" si="92">SUM(S5+U5+Y5+AA5+AC5+AH5+AJ5+AK5+AL5+AD5+AF5+AQ5+AN5+AO5)</f>
        <v>1140.5</v>
      </c>
      <c r="AT5" s="1">
        <f t="shared" ref="AT5:AT68" si="93">SUM(S5+U5+Y5+AA5+AC5+AH5+AJ5+AK5+AL5+AQ5+AD5+AF5+AM5+AN5+AO5)</f>
        <v>1140.5</v>
      </c>
      <c r="AU5" s="2">
        <f>CY5</f>
        <v>45740</v>
      </c>
      <c r="AV5" s="82">
        <f>IF(ISNA(VLOOKUP($CZ5,'Audit Values'!$A$2:$AC$360,2,FALSE)),"",IF(AND(Weightings!H5&gt;0,VLOOKUP($CZ5,'Audit Values'!$A$2:$AC$360,29,FALSE)&lt;Weightings!H5),Weightings!H5,VLOOKUP($CZ5,'Audit Values'!$A$2:$AC$360,29,FALSE)))</f>
        <v>1</v>
      </c>
      <c r="AW5" s="82" t="str">
        <f>IF(ISNA(VLOOKUP($CZ5,'Audit Values'!$A$2:$AD$360,2,FALSE)),"",VLOOKUP($CZ5,'Audit Values'!$A$2:$AD$360,30,FALSE))</f>
        <v>A</v>
      </c>
      <c r="AX5" s="82" t="str">
        <f>IF(Weightings!G5="","",IF(Weightings!I5="Pending","PX","R"))</f>
        <v/>
      </c>
      <c r="AY5" s="114">
        <f>AR5*Weightings!$M$5+AU5</f>
        <v>3776660</v>
      </c>
      <c r="AZ5" s="2">
        <f>AT5*Weightings!$M$5+AU5</f>
        <v>4422979</v>
      </c>
      <c r="BA5" s="2">
        <f>IF(Weightings!G5&gt;0,Weightings!G5,'Preliminary SO66'!AB2)</f>
        <v>4754198</v>
      </c>
      <c r="BB5" s="2">
        <f t="shared" ref="BB5:BB68" si="94">MIN(AZ5,BA5)</f>
        <v>4422979</v>
      </c>
      <c r="BC5" s="124"/>
      <c r="BD5" s="124">
        <f>Weightings!E5</f>
        <v>0</v>
      </c>
      <c r="BE5" s="124">
        <f>Weightings!F5</f>
        <v>0</v>
      </c>
      <c r="BF5" s="2">
        <f t="shared" ref="BF5:BF68" si="95">SUM(BC5:BE5)</f>
        <v>0</v>
      </c>
      <c r="BG5" s="2">
        <f t="shared" ref="BG5:BG68" si="96">BB5+BF5</f>
        <v>4422979</v>
      </c>
      <c r="BH5" s="2">
        <f>MAX(ROUND(((AR5-AO5)*4433)+AP5,0),ROUND(((AR5-AO5)*4433)+Weightings!B5,0))</f>
        <v>5040486</v>
      </c>
      <c r="BI5" s="174">
        <v>0.3</v>
      </c>
      <c r="BJ5" s="2">
        <f t="shared" ref="BJ5:BJ18" si="97">BH5*BI5</f>
        <v>1512146</v>
      </c>
      <c r="BK5" s="173">
        <v>1595830</v>
      </c>
      <c r="BL5" s="2">
        <f t="shared" ref="BL5:BL68" si="98">MIN(BJ5,BK5)</f>
        <v>1512146</v>
      </c>
      <c r="BM5" s="3">
        <f>BL5/BH5</f>
        <v>0.3</v>
      </c>
      <c r="BN5" s="1">
        <f t="shared" ref="BN5:BN68" si="99">ROUND(IF(S5&lt;=99.9,(S5*1.014331),0),1)</f>
        <v>0</v>
      </c>
      <c r="BO5" s="4" t="b">
        <f t="shared" ref="BO5:BO68" si="100">AND(S5&gt;99.9,S5&lt;=299.9)</f>
        <v>0</v>
      </c>
      <c r="BP5" s="5">
        <f t="shared" ref="BP5:BP68" si="101">IF(BO5=TRUE,ROUND((S5-100)*9.655,3),0)</f>
        <v>0</v>
      </c>
      <c r="BQ5" s="6">
        <f t="shared" ref="BQ5:BQ64" si="102">IF(BO5=TRUE,ROUND(((7337-BP5)/3642.4)-1,6),0)</f>
        <v>0</v>
      </c>
      <c r="BR5" s="4">
        <f t="shared" ref="BR5:BR68" si="103">ROUND(S5*BQ5,1)</f>
        <v>0</v>
      </c>
      <c r="BS5" s="4" t="b">
        <f t="shared" ref="BS5:BS68" si="104">AND(S5&gt;299.9,S5&lt;=1621.9)</f>
        <v>1</v>
      </c>
      <c r="BT5" s="4">
        <f t="shared" ref="BT5:BT68" si="105">IF(BS5=TRUE,ROUND((S5-300)*1.2375,4),0)</f>
        <v>279.67500000000001</v>
      </c>
      <c r="BU5" s="6">
        <f t="shared" ref="BU5:BU64" si="106">IF(BS5=TRUE,ROUND(((5406-BT5)/3642.4)-1,6),0)</f>
        <v>0.40740300000000002</v>
      </c>
      <c r="BV5" s="1">
        <f t="shared" ref="BV5:BV68" si="107">ROUND(BU5*S5,1)</f>
        <v>214.3</v>
      </c>
      <c r="BW5" s="1">
        <f t="shared" ref="BW5:BW68" si="108">ROUND(IF(S5&gt;=1622,(S5*0.03504),0),1)</f>
        <v>0</v>
      </c>
      <c r="BX5" s="116">
        <v>325</v>
      </c>
      <c r="BY5" s="7">
        <f t="shared" ref="BY5" si="109">AI5/BX5</f>
        <v>0.82</v>
      </c>
      <c r="BZ5" s="7">
        <f>IF(ROUND((Weightings!$P$5*BY5^Weightings!$P$6*Weightings!$P$8 ),2)&lt;Weightings!$P$7,Weightings!$P$7,ROUND((Weightings!$P$5*BY5^Weightings!$P$6*Weightings!$P$8 ),2))</f>
        <v>1048.6600000000001</v>
      </c>
      <c r="CA5" s="8">
        <f>ROUND(BZ5/Weightings!$M$5,4)</f>
        <v>0.2732</v>
      </c>
      <c r="CB5" s="1">
        <f t="shared" ref="CB5" si="110">ROUND(IF(AI5&gt;0,CA5*AI5,0),1)</f>
        <v>72.7</v>
      </c>
      <c r="CC5" s="173">
        <v>0</v>
      </c>
      <c r="CD5" s="173">
        <v>0</v>
      </c>
      <c r="CE5" s="173">
        <v>0</v>
      </c>
      <c r="CF5" s="177">
        <v>0</v>
      </c>
      <c r="CG5" s="2">
        <f>AS5*Weightings!$M$5*CF5</f>
        <v>0</v>
      </c>
      <c r="CH5" s="2">
        <f>IF(CE5&gt;CG5,CG5,CE5)</f>
        <v>0</v>
      </c>
      <c r="CI5" s="117">
        <f t="shared" ref="CI5:CI68" si="111">ROUND(AB5/S5,3)</f>
        <v>0.49199999999999999</v>
      </c>
      <c r="CJ5" s="4">
        <f t="shared" ref="CJ5:CJ68" si="112">ROUND(S5/BX5,1)</f>
        <v>1.6</v>
      </c>
      <c r="CK5" s="1">
        <f>IF(CI5&gt;=50%,AB5*10.5%,0)</f>
        <v>0</v>
      </c>
      <c r="CL5" s="1">
        <f>IF(AND(CI5&gt;=35.1%,CJ5&gt;212),AB5*0.105,0)</f>
        <v>0</v>
      </c>
      <c r="CM5" s="1">
        <f>IF(AND((CI5-0.35)&gt;0,CI5&lt;0.5),AB5*(CI5-0.35)*0.7,0)</f>
        <v>25.7</v>
      </c>
      <c r="CN5" s="1">
        <f>IF(ISNA(VLOOKUP($CZ5,'Audit Values'!$A$2:$AE$439,2,FALSE)),'Preliminary SO66'!T2,VLOOKUP($CZ5,'Audit Values'!$A$2:$AE$439,20,FALSE))</f>
        <v>0</v>
      </c>
      <c r="CO5" s="1">
        <f>CN5*1.05</f>
        <v>0</v>
      </c>
      <c r="CP5" s="183">
        <v>0</v>
      </c>
      <c r="CQ5" s="1">
        <f>CP5*0.25</f>
        <v>0</v>
      </c>
      <c r="CR5" s="2">
        <f>IF(ISNA(VLOOKUP($CZ5,'Audit Values'!$A$2:$AE$439,2,FALSE)),'Preliminary SO66'!V2,VLOOKUP($CZ5,'Audit Values'!$A$2:$AE$439,22,FALSE))</f>
        <v>0</v>
      </c>
      <c r="CS5" s="1">
        <f>CR5*0.08</f>
        <v>0</v>
      </c>
      <c r="CT5" s="2">
        <f>IF(ISNA(VLOOKUP($CZ5,'Audit Values'!$A$2:$AE$439,2,FALSE)),'Preliminary SO66'!W2,VLOOKUP($CZ5,'Audit Values'!$A$2:$AE$439,23,FALSE))</f>
        <v>0</v>
      </c>
      <c r="CU5" s="1">
        <f t="shared" ref="CU5:CU30" si="113">CT5*0.08</f>
        <v>0</v>
      </c>
      <c r="CV5" s="1">
        <f t="shared" ref="CV5:CV30" si="114">CO5+CQ5+CS5+CU5</f>
        <v>0</v>
      </c>
      <c r="CW5" s="176">
        <v>45740</v>
      </c>
      <c r="CX5" s="2">
        <f>IF(CW5&gt;0,Weightings!$M$11*AR5,0)</f>
        <v>243025</v>
      </c>
      <c r="CY5" s="2">
        <f>MIN(CW5,CX5)</f>
        <v>45740</v>
      </c>
      <c r="CZ5" s="108" t="s">
        <v>297</v>
      </c>
    </row>
    <row r="6" spans="1:104">
      <c r="A6" s="82">
        <v>102</v>
      </c>
      <c r="B6" s="4" t="s">
        <v>7</v>
      </c>
      <c r="C6" s="4" t="s">
        <v>633</v>
      </c>
      <c r="D6" s="1">
        <v>664.4</v>
      </c>
      <c r="E6" s="1">
        <v>0</v>
      </c>
      <c r="F6" s="1">
        <f t="shared" ref="F6:F18" si="115">D6+E6</f>
        <v>664.4</v>
      </c>
      <c r="G6" s="1">
        <v>643.4</v>
      </c>
      <c r="H6" s="1">
        <v>0</v>
      </c>
      <c r="I6" s="1">
        <f t="shared" ref="I6:I68" si="116">G6+H6</f>
        <v>643.4</v>
      </c>
      <c r="J6" s="1">
        <f t="shared" si="79"/>
        <v>644</v>
      </c>
      <c r="K6" s="1">
        <f>IF(ISNA(VLOOKUP($CZ6,'Audit Values'!$A$2:$AE$439,2,FALSE)),'Preliminary SO66'!B3,VLOOKUP($CZ6,'Audit Values'!$A$2:$AE$439,31,FALSE))</f>
        <v>633.4</v>
      </c>
      <c r="L6" s="1">
        <f t="shared" si="80"/>
        <v>647.1</v>
      </c>
      <c r="M6" s="1">
        <f>IF(ISNA(VLOOKUP($CZ6,'Audit Values'!$A$2:$AE$439,2,FALSE)),'Preliminary SO66'!Z3,VLOOKUP($CZ6,'Audit Values'!$A$2:$AE$439,26,FALSE))</f>
        <v>0</v>
      </c>
      <c r="N6" s="1">
        <f t="shared" si="81"/>
        <v>647.1</v>
      </c>
      <c r="O6" s="1">
        <f>IF(ISNA(VLOOKUP($CZ6,'Audit Values'!$A$2:$AE$439,2,FALSE)),'Preliminary SO66'!C3,IF(VLOOKUP($CZ6,'Audit Values'!$A$2:$AE$439,28,FALSE)="",VLOOKUP($CZ6,'Audit Values'!$A$2:$AE$439,3,FALSE),VLOOKUP($CZ6,'Audit Values'!$A$2:$AE$439,28,FALSE)))</f>
        <v>9</v>
      </c>
      <c r="P6" s="109">
        <f t="shared" si="82"/>
        <v>642.4</v>
      </c>
      <c r="Q6" s="110">
        <f t="shared" si="83"/>
        <v>653</v>
      </c>
      <c r="R6" s="111">
        <f t="shared" si="84"/>
        <v>653</v>
      </c>
      <c r="S6" s="1">
        <f t="shared" si="85"/>
        <v>656.1</v>
      </c>
      <c r="T6" s="1">
        <f t="shared" si="86"/>
        <v>10.6</v>
      </c>
      <c r="U6" s="1">
        <f t="shared" si="87"/>
        <v>238.3</v>
      </c>
      <c r="V6" s="1">
        <f t="shared" si="88"/>
        <v>238.3</v>
      </c>
      <c r="W6" s="1">
        <f t="shared" si="89"/>
        <v>0</v>
      </c>
      <c r="X6" s="1">
        <f>IF(ISNA(VLOOKUP($CZ6,'Audit Values'!$A$2:$AE$439,2,FALSE)),'Preliminary SO66'!D3,VLOOKUP($CZ6,'Audit Values'!$A$2:$AE$439,4,FALSE))</f>
        <v>115.3</v>
      </c>
      <c r="Y6" s="1">
        <f>ROUND((X6/6)*Weightings!$M$6,1)</f>
        <v>9.6</v>
      </c>
      <c r="Z6" s="1">
        <f>IF(ISNA(VLOOKUP($CZ6,'Audit Values'!$A$2:$AE$439,2,FALSE)),'Preliminary SO66'!F3,VLOOKUP($CZ6,'Audit Values'!$A$2:$AE$439,6,FALSE))</f>
        <v>661.7</v>
      </c>
      <c r="AA6" s="1">
        <f>ROUND((Z6/6)*Weightings!$M$7,1)</f>
        <v>43.6</v>
      </c>
      <c r="AB6" s="2">
        <f>IF(ISNA(VLOOKUP($CZ6,'Audit Values'!$A$2:$AE$439,2,FALSE)),'Preliminary SO66'!H3,VLOOKUP($CZ6,'Audit Values'!$A$2:$AE$439,8,FALSE))</f>
        <v>242</v>
      </c>
      <c r="AC6" s="1">
        <f>ROUND(AB6*Weightings!$M$8,1)</f>
        <v>110.4</v>
      </c>
      <c r="AD6" s="1">
        <f t="shared" ref="AD6:AD69" si="117">MAX(CK6,CL6,CM6)</f>
        <v>3.2</v>
      </c>
      <c r="AE6" s="185">
        <v>26</v>
      </c>
      <c r="AF6" s="1">
        <f>AE6*Weightings!$M$9</f>
        <v>1.2</v>
      </c>
      <c r="AG6" s="1">
        <f>IF(ISNA(VLOOKUP($CZ6,'Audit Values'!$A$2:$AE$439,2,FALSE)),'Preliminary SO66'!L3,VLOOKUP($CZ6,'Audit Values'!$A$2:$AE$439,12,FALSE))</f>
        <v>43</v>
      </c>
      <c r="AH6" s="1">
        <f>ROUND(AG6*Weightings!$M$10,1)</f>
        <v>10.8</v>
      </c>
      <c r="AI6" s="1">
        <f>IF(ISNA(VLOOKUP($CZ6,'Audit Values'!$A$2:$AE$439,2,FALSE)),'Preliminary SO66'!O3,VLOOKUP($CZ6,'Audit Values'!$A$2:$AE$439,15,FALSE))</f>
        <v>101</v>
      </c>
      <c r="AJ6" s="1">
        <f t="shared" si="90"/>
        <v>38.5</v>
      </c>
      <c r="AK6" s="1">
        <f>CC6/Weightings!$M$5</f>
        <v>0</v>
      </c>
      <c r="AL6" s="1">
        <f>CD6/Weightings!$M$5</f>
        <v>0</v>
      </c>
      <c r="AM6" s="1">
        <f>CH6/Weightings!$M$5</f>
        <v>0</v>
      </c>
      <c r="AN6" s="1">
        <f t="shared" ref="AN6:AN71" si="118">CV6</f>
        <v>11.1</v>
      </c>
      <c r="AO6" s="1">
        <f>IF(ISNA(VLOOKUP($CZ6,'Audit Values'!$A$2:$AE$439,2,FALSE)),'Preliminary SO66'!X3,VLOOKUP($CZ6,'Audit Values'!$A$2:$AE$439,24,FALSE))</f>
        <v>0</v>
      </c>
      <c r="AP6" s="188">
        <v>482516</v>
      </c>
      <c r="AQ6" s="113">
        <f>AP6/Weightings!$M$5</f>
        <v>125.7</v>
      </c>
      <c r="AR6" s="113">
        <f t="shared" si="91"/>
        <v>1122.8</v>
      </c>
      <c r="AS6" s="1">
        <f t="shared" si="92"/>
        <v>1248.5</v>
      </c>
      <c r="AT6" s="1">
        <f t="shared" si="93"/>
        <v>1248.5</v>
      </c>
      <c r="AU6" s="2">
        <f t="shared" ref="AU6:AU69" si="119">CY6</f>
        <v>0</v>
      </c>
      <c r="AV6" s="82">
        <f>IF(ISNA(VLOOKUP($CZ6,'Audit Values'!$A$2:$AC$360,2,FALSE)),"",IF(AND(Weightings!H6&gt;0,VLOOKUP($CZ6,'Audit Values'!$A$2:$AC$360,29,FALSE)&lt;Weightings!H6),Weightings!H6,VLOOKUP($CZ6,'Audit Values'!$A$2:$AC$360,29,FALSE)))</f>
        <v>10</v>
      </c>
      <c r="AW6" s="82" t="str">
        <f>IF(ISNA(VLOOKUP($CZ6,'Audit Values'!$A$2:$AD$360,2,FALSE)),"",VLOOKUP($CZ6,'Audit Values'!$A$2:$AD$360,30,FALSE))</f>
        <v>A</v>
      </c>
      <c r="AX6" s="82" t="str">
        <f>IF(Weightings!G6="","",IF(Weightings!I6="Pending","PX","R"))</f>
        <v/>
      </c>
      <c r="AY6" s="114">
        <f>AR6*Weightings!$M$5+AU6</f>
        <v>4309306</v>
      </c>
      <c r="AZ6" s="2">
        <f>AT6*Weightings!$M$5+AU6</f>
        <v>4791743</v>
      </c>
      <c r="BA6" s="2">
        <f>IF(Weightings!G6&gt;0,Weightings!G6,'Preliminary SO66'!AB3)</f>
        <v>4858140</v>
      </c>
      <c r="BB6" s="2">
        <f t="shared" si="94"/>
        <v>4791743</v>
      </c>
      <c r="BC6" s="124"/>
      <c r="BD6" s="124">
        <f>Weightings!E6</f>
        <v>0</v>
      </c>
      <c r="BE6" s="124">
        <f>Weightings!F6</f>
        <v>0</v>
      </c>
      <c r="BF6" s="2">
        <f t="shared" si="95"/>
        <v>0</v>
      </c>
      <c r="BG6" s="2">
        <f t="shared" si="96"/>
        <v>4791743</v>
      </c>
      <c r="BH6" s="2">
        <f>MAX(ROUND(((AR6-AO6)*4433)+AP6,0),ROUND(((AR6-AO6)*4433)+Weightings!B6,0))</f>
        <v>5515755</v>
      </c>
      <c r="BI6" s="174">
        <v>0.3</v>
      </c>
      <c r="BJ6" s="2">
        <f t="shared" si="97"/>
        <v>1654727</v>
      </c>
      <c r="BK6" s="173">
        <v>1375000</v>
      </c>
      <c r="BL6" s="2">
        <f t="shared" si="98"/>
        <v>1375000</v>
      </c>
      <c r="BM6" s="3">
        <f t="shared" ref="BM6:BM69" si="120">BL6/BH6</f>
        <v>0.24929999999999999</v>
      </c>
      <c r="BN6" s="1">
        <f t="shared" si="99"/>
        <v>0</v>
      </c>
      <c r="BO6" s="4" t="b">
        <f t="shared" si="100"/>
        <v>0</v>
      </c>
      <c r="BP6" s="5">
        <f t="shared" si="101"/>
        <v>0</v>
      </c>
      <c r="BQ6" s="6">
        <f t="shared" si="102"/>
        <v>0</v>
      </c>
      <c r="BR6" s="4">
        <f t="shared" si="103"/>
        <v>0</v>
      </c>
      <c r="BS6" s="4" t="b">
        <f t="shared" si="104"/>
        <v>1</v>
      </c>
      <c r="BT6" s="4">
        <f t="shared" si="105"/>
        <v>440.67380000000003</v>
      </c>
      <c r="BU6" s="6">
        <f t="shared" si="106"/>
        <v>0.36320200000000002</v>
      </c>
      <c r="BV6" s="1">
        <f t="shared" si="107"/>
        <v>238.3</v>
      </c>
      <c r="BW6" s="1">
        <f t="shared" si="108"/>
        <v>0</v>
      </c>
      <c r="BX6" s="116">
        <v>538</v>
      </c>
      <c r="BY6" s="7">
        <f t="shared" ref="BY6:BY69" si="121">AI6/BX6</f>
        <v>0.19</v>
      </c>
      <c r="BZ6" s="7">
        <f>IF(ROUND((Weightings!$P$5*BY6^Weightings!$P$6*Weightings!$P$8 ),2)&lt;Weightings!$P$7,Weightings!$P$7,ROUND((Weightings!$P$5*BY6^Weightings!$P$6*Weightings!$P$8 ),2))</f>
        <v>1463.83</v>
      </c>
      <c r="CA6" s="8">
        <f>ROUND(BZ6/Weightings!$M$5,4)</f>
        <v>0.38140000000000002</v>
      </c>
      <c r="CB6" s="1">
        <f t="shared" ref="CB6:CB69" si="122">ROUND(IF(AI6&gt;0,CA6*AI6,0),1)</f>
        <v>38.5</v>
      </c>
      <c r="CC6" s="173">
        <v>0</v>
      </c>
      <c r="CD6" s="173">
        <v>0</v>
      </c>
      <c r="CE6" s="173">
        <v>0</v>
      </c>
      <c r="CF6" s="177">
        <v>0</v>
      </c>
      <c r="CG6" s="2">
        <f>AS6*Weightings!$M$5*CF6</f>
        <v>0</v>
      </c>
      <c r="CH6" s="2">
        <f t="shared" ref="CH6:CH69" si="123">IF(CE6&gt;CG6,CG6,CE6)</f>
        <v>0</v>
      </c>
      <c r="CI6" s="117">
        <f t="shared" si="111"/>
        <v>0.36899999999999999</v>
      </c>
      <c r="CJ6" s="4">
        <f t="shared" si="112"/>
        <v>1.2</v>
      </c>
      <c r="CK6" s="1">
        <f t="shared" ref="CK6:CK69" si="124">IF(CI6&gt;=50%,AB6*10.5%,0)</f>
        <v>0</v>
      </c>
      <c r="CL6" s="1">
        <f t="shared" ref="CL6:CL69" si="125">IF(AND(CI6&gt;=35.1%,CJ6&gt;212),AB6*0.105,0)</f>
        <v>0</v>
      </c>
      <c r="CM6" s="1">
        <f t="shared" ref="CM6:CM69" si="126">IF(AND((CI6-0.35)&gt;0,CI6&lt;0.5),AB6*(CI6-0.35)*0.7,0)</f>
        <v>3.2</v>
      </c>
      <c r="CN6" s="1">
        <f>IF(ISNA(VLOOKUP($CZ6,'Audit Values'!$A$2:$AE$439,2,FALSE)),'Preliminary SO66'!T3,VLOOKUP($CZ6,'Audit Values'!$A$2:$AE$439,20,FALSE))</f>
        <v>10.6</v>
      </c>
      <c r="CO6" s="1">
        <f t="shared" ref="CO6:CO71" si="127">CN6*1.05</f>
        <v>11.1</v>
      </c>
      <c r="CP6" s="183">
        <v>0</v>
      </c>
      <c r="CQ6" s="1">
        <f t="shared" ref="CQ6:CQ71" si="128">CP6*0.25</f>
        <v>0</v>
      </c>
      <c r="CR6" s="2">
        <f>IF(ISNA(VLOOKUP($CZ6,'Audit Values'!$A$2:$AE$439,2,FALSE)),'Preliminary SO66'!V3,VLOOKUP($CZ6,'Audit Values'!$A$2:$AE$439,22,FALSE))</f>
        <v>0</v>
      </c>
      <c r="CS6" s="1">
        <f t="shared" ref="CS6:CS71" si="129">CR6*0.08</f>
        <v>0</v>
      </c>
      <c r="CT6" s="2">
        <f>IF(ISNA(VLOOKUP($CZ6,'Audit Values'!$A$2:$AE$439,2,FALSE)),'Preliminary SO66'!W3,VLOOKUP($CZ6,'Audit Values'!$A$2:$AE$439,23,FALSE))</f>
        <v>0</v>
      </c>
      <c r="CU6" s="1">
        <f t="shared" si="113"/>
        <v>0</v>
      </c>
      <c r="CV6" s="1">
        <f t="shared" si="114"/>
        <v>11.1</v>
      </c>
      <c r="CW6" s="176">
        <v>0</v>
      </c>
      <c r="CX6" s="2">
        <f>IF(CW6&gt;0,Weightings!$M$11*AR6,0)</f>
        <v>0</v>
      </c>
      <c r="CY6" s="2">
        <f t="shared" ref="CY6:CY69" si="130">MIN(CW6,CX6)</f>
        <v>0</v>
      </c>
      <c r="CZ6" s="108" t="s">
        <v>298</v>
      </c>
    </row>
    <row r="7" spans="1:104">
      <c r="A7" s="82">
        <v>103</v>
      </c>
      <c r="B7" s="4" t="s">
        <v>8</v>
      </c>
      <c r="C7" s="4" t="s">
        <v>634</v>
      </c>
      <c r="D7" s="1">
        <v>138.5</v>
      </c>
      <c r="E7" s="1">
        <v>0</v>
      </c>
      <c r="F7" s="1">
        <f t="shared" si="115"/>
        <v>138.5</v>
      </c>
      <c r="G7" s="1">
        <v>121.5</v>
      </c>
      <c r="H7" s="1">
        <v>0</v>
      </c>
      <c r="I7" s="1">
        <f t="shared" si="116"/>
        <v>121.5</v>
      </c>
      <c r="J7" s="1">
        <f t="shared" si="79"/>
        <v>127</v>
      </c>
      <c r="K7" s="1">
        <f>IF(ISNA(VLOOKUP($CZ7,'Audit Values'!$A$2:$AE$439,2,FALSE)),'Preliminary SO66'!B4,VLOOKUP($CZ7,'Audit Values'!$A$2:$AE$439,31,FALSE))</f>
        <v>127</v>
      </c>
      <c r="L7" s="1">
        <f t="shared" si="80"/>
        <v>129</v>
      </c>
      <c r="M7" s="1">
        <f>IF(ISNA(VLOOKUP($CZ7,'Audit Values'!$A$2:$AE$439,2,FALSE)),'Preliminary SO66'!Z4,VLOOKUP($CZ7,'Audit Values'!$A$2:$AE$439,26,FALSE))</f>
        <v>0</v>
      </c>
      <c r="N7" s="1">
        <f t="shared" si="81"/>
        <v>129</v>
      </c>
      <c r="O7" s="1">
        <f>IF(ISNA(VLOOKUP($CZ7,'Audit Values'!$A$2:$AE$439,2,FALSE)),'Preliminary SO66'!C4,IF(VLOOKUP($CZ7,'Audit Values'!$A$2:$AE$439,28,FALSE)="",VLOOKUP($CZ7,'Audit Values'!$A$2:$AE$439,3,FALSE),VLOOKUP($CZ7,'Audit Values'!$A$2:$AE$439,28,FALSE)))</f>
        <v>0</v>
      </c>
      <c r="P7" s="109">
        <f t="shared" si="82"/>
        <v>127</v>
      </c>
      <c r="Q7" s="110">
        <f t="shared" si="83"/>
        <v>127</v>
      </c>
      <c r="R7" s="111">
        <f t="shared" si="84"/>
        <v>127</v>
      </c>
      <c r="S7" s="1">
        <f t="shared" si="85"/>
        <v>129</v>
      </c>
      <c r="T7" s="1">
        <f t="shared" si="86"/>
        <v>0</v>
      </c>
      <c r="U7" s="1">
        <f t="shared" si="87"/>
        <v>120.9</v>
      </c>
      <c r="V7" s="1">
        <f t="shared" si="88"/>
        <v>120.9</v>
      </c>
      <c r="W7" s="1">
        <f t="shared" si="89"/>
        <v>0</v>
      </c>
      <c r="X7" s="1">
        <f>IF(ISNA(VLOOKUP($CZ7,'Audit Values'!$A$2:$AE$439,2,FALSE)),'Preliminary SO66'!D4,VLOOKUP($CZ7,'Audit Values'!$A$2:$AE$439,4,FALSE))</f>
        <v>0</v>
      </c>
      <c r="Y7" s="1">
        <f>ROUND((X7/6)*Weightings!$M$6,1)</f>
        <v>0</v>
      </c>
      <c r="Z7" s="1">
        <f>IF(ISNA(VLOOKUP($CZ7,'Audit Values'!$A$2:$AE$439,2,FALSE)),'Preliminary SO66'!F4,VLOOKUP($CZ7,'Audit Values'!$A$2:$AE$439,6,FALSE))</f>
        <v>125.4</v>
      </c>
      <c r="AA7" s="1">
        <f>ROUND((Z7/6)*Weightings!$M$7,1)</f>
        <v>8.3000000000000007</v>
      </c>
      <c r="AB7" s="2">
        <f>IF(ISNA(VLOOKUP($CZ7,'Audit Values'!$A$2:$AE$439,2,FALSE)),'Preliminary SO66'!H4,VLOOKUP($CZ7,'Audit Values'!$A$2:$AE$439,8,FALSE))</f>
        <v>54</v>
      </c>
      <c r="AC7" s="1">
        <f>ROUND(AB7*Weightings!$M$8,1)</f>
        <v>24.6</v>
      </c>
      <c r="AD7" s="1">
        <f t="shared" si="117"/>
        <v>2.6</v>
      </c>
      <c r="AE7" s="185">
        <v>2</v>
      </c>
      <c r="AF7" s="1">
        <f>AE7*Weightings!$M$9</f>
        <v>0.1</v>
      </c>
      <c r="AG7" s="1">
        <f>IF(ISNA(VLOOKUP($CZ7,'Audit Values'!$A$2:$AE$439,2,FALSE)),'Preliminary SO66'!L4,VLOOKUP($CZ7,'Audit Values'!$A$2:$AE$439,12,FALSE))</f>
        <v>1.5</v>
      </c>
      <c r="AH7" s="1">
        <f>ROUND(AG7*Weightings!$M$10,1)</f>
        <v>0.4</v>
      </c>
      <c r="AI7" s="1">
        <f>IF(ISNA(VLOOKUP($CZ7,'Audit Values'!$A$2:$AE$439,2,FALSE)),'Preliminary SO66'!O4,VLOOKUP($CZ7,'Audit Values'!$A$2:$AE$439,15,FALSE))</f>
        <v>54</v>
      </c>
      <c r="AJ7" s="1">
        <f t="shared" si="90"/>
        <v>25.1</v>
      </c>
      <c r="AK7" s="1">
        <f>CC7/Weightings!$M$5</f>
        <v>0</v>
      </c>
      <c r="AL7" s="1">
        <f>CD7/Weightings!$M$5</f>
        <v>0</v>
      </c>
      <c r="AM7" s="1">
        <f>CH7/Weightings!$M$5</f>
        <v>0</v>
      </c>
      <c r="AN7" s="1">
        <f t="shared" si="118"/>
        <v>0</v>
      </c>
      <c r="AO7" s="1">
        <f>IF(ISNA(VLOOKUP($CZ7,'Audit Values'!$A$2:$AE$439,2,FALSE)),'Preliminary SO66'!X4,VLOOKUP($CZ7,'Audit Values'!$A$2:$AE$439,24,FALSE))</f>
        <v>0</v>
      </c>
      <c r="AP7" s="188">
        <v>146725</v>
      </c>
      <c r="AQ7" s="113">
        <f>AP7/Weightings!$M$5</f>
        <v>38.200000000000003</v>
      </c>
      <c r="AR7" s="113">
        <f t="shared" si="91"/>
        <v>311</v>
      </c>
      <c r="AS7" s="1">
        <f t="shared" si="92"/>
        <v>349.2</v>
      </c>
      <c r="AT7" s="1">
        <f t="shared" si="93"/>
        <v>349.2</v>
      </c>
      <c r="AU7" s="2">
        <f t="shared" si="119"/>
        <v>0</v>
      </c>
      <c r="AV7" s="82">
        <f>IF(ISNA(VLOOKUP($CZ7,'Audit Values'!$A$2:$AC$360,2,FALSE)),"",IF(AND(Weightings!H7&gt;0,VLOOKUP($CZ7,'Audit Values'!$A$2:$AC$360,29,FALSE)&lt;Weightings!H7),Weightings!H7,VLOOKUP($CZ7,'Audit Values'!$A$2:$AC$360,29,FALSE)))</f>
        <v>1</v>
      </c>
      <c r="AW7" s="82" t="str">
        <f>IF(ISNA(VLOOKUP($CZ7,'Audit Values'!$A$2:$AD$360,2,FALSE)),"",VLOOKUP($CZ7,'Audit Values'!$A$2:$AD$360,30,FALSE))</f>
        <v>A</v>
      </c>
      <c r="AX7" s="82" t="str">
        <f>IF(Weightings!G7="","",IF(Weightings!I7="Pending","PX","R"))</f>
        <v/>
      </c>
      <c r="AY7" s="114">
        <f>AR7*Weightings!$M$5+AU7</f>
        <v>1193618</v>
      </c>
      <c r="AZ7" s="2">
        <f>AT7*Weightings!$M$5+AU7</f>
        <v>1340230</v>
      </c>
      <c r="BA7" s="2">
        <f>IF(Weightings!G7&gt;0,Weightings!G7,'Preliminary SO66'!AB4)</f>
        <v>1374388</v>
      </c>
      <c r="BB7" s="2">
        <f t="shared" si="94"/>
        <v>1340230</v>
      </c>
      <c r="BC7" s="124"/>
      <c r="BD7" s="124">
        <f>Weightings!E7</f>
        <v>0</v>
      </c>
      <c r="BE7" s="124">
        <f>Weightings!F7</f>
        <v>0</v>
      </c>
      <c r="BF7" s="2">
        <f t="shared" si="95"/>
        <v>0</v>
      </c>
      <c r="BG7" s="2">
        <f t="shared" si="96"/>
        <v>1340230</v>
      </c>
      <c r="BH7" s="2">
        <f>MAX(ROUND(((AR7-AO7)*4433)+AP7,0),ROUND(((AR7-AO7)*4433)+Weightings!B7,0))</f>
        <v>1568918</v>
      </c>
      <c r="BI7" s="174">
        <v>0.3</v>
      </c>
      <c r="BJ7" s="2">
        <f t="shared" si="97"/>
        <v>470675</v>
      </c>
      <c r="BK7" s="173">
        <v>471739</v>
      </c>
      <c r="BL7" s="2">
        <f t="shared" si="98"/>
        <v>470675</v>
      </c>
      <c r="BM7" s="3">
        <f t="shared" si="120"/>
        <v>0.3</v>
      </c>
      <c r="BN7" s="1">
        <f t="shared" si="99"/>
        <v>0</v>
      </c>
      <c r="BO7" s="4" t="b">
        <f t="shared" si="100"/>
        <v>1</v>
      </c>
      <c r="BP7" s="5">
        <f t="shared" si="101"/>
        <v>279.995</v>
      </c>
      <c r="BQ7" s="6">
        <f t="shared" si="102"/>
        <v>0.93745999999999996</v>
      </c>
      <c r="BR7" s="4">
        <f t="shared" si="103"/>
        <v>120.9</v>
      </c>
      <c r="BS7" s="4" t="b">
        <f t="shared" si="104"/>
        <v>0</v>
      </c>
      <c r="BT7" s="4">
        <f t="shared" si="105"/>
        <v>0</v>
      </c>
      <c r="BU7" s="6">
        <f t="shared" si="106"/>
        <v>0</v>
      </c>
      <c r="BV7" s="1">
        <f t="shared" si="107"/>
        <v>0</v>
      </c>
      <c r="BW7" s="1">
        <f t="shared" si="108"/>
        <v>0</v>
      </c>
      <c r="BX7" s="116">
        <v>688</v>
      </c>
      <c r="BY7" s="7">
        <f t="shared" si="121"/>
        <v>0.08</v>
      </c>
      <c r="BZ7" s="7">
        <f>IF(ROUND((Weightings!$P$5*BY7^Weightings!$P$6*Weightings!$P$8 ),2)&lt;Weightings!$P$7,Weightings!$P$7,ROUND((Weightings!$P$5*BY7^Weightings!$P$6*Weightings!$P$8 ),2))</f>
        <v>1783.12</v>
      </c>
      <c r="CA7" s="8">
        <f>ROUND(BZ7/Weightings!$M$5,4)</f>
        <v>0.46460000000000001</v>
      </c>
      <c r="CB7" s="1">
        <f t="shared" si="122"/>
        <v>25.1</v>
      </c>
      <c r="CC7" s="173">
        <v>0</v>
      </c>
      <c r="CD7" s="173">
        <v>0</v>
      </c>
      <c r="CE7" s="173">
        <v>0</v>
      </c>
      <c r="CF7" s="177">
        <v>0</v>
      </c>
      <c r="CG7" s="2">
        <f>AS7*Weightings!$M$5*CF7</f>
        <v>0</v>
      </c>
      <c r="CH7" s="2">
        <f t="shared" si="123"/>
        <v>0</v>
      </c>
      <c r="CI7" s="117">
        <f t="shared" si="111"/>
        <v>0.41899999999999998</v>
      </c>
      <c r="CJ7" s="4">
        <f t="shared" si="112"/>
        <v>0.2</v>
      </c>
      <c r="CK7" s="1">
        <f t="shared" si="124"/>
        <v>0</v>
      </c>
      <c r="CL7" s="1">
        <f t="shared" si="125"/>
        <v>0</v>
      </c>
      <c r="CM7" s="1">
        <f t="shared" si="126"/>
        <v>2.6</v>
      </c>
      <c r="CN7" s="1">
        <f>IF(ISNA(VLOOKUP($CZ7,'Audit Values'!$A$2:$AE$439,2,FALSE)),'Preliminary SO66'!T4,VLOOKUP($CZ7,'Audit Values'!$A$2:$AE$439,20,FALSE))</f>
        <v>0</v>
      </c>
      <c r="CO7" s="1">
        <f t="shared" si="127"/>
        <v>0</v>
      </c>
      <c r="CP7" s="183">
        <v>0</v>
      </c>
      <c r="CQ7" s="1">
        <f t="shared" si="128"/>
        <v>0</v>
      </c>
      <c r="CR7" s="2">
        <f>IF(ISNA(VLOOKUP($CZ7,'Audit Values'!$A$2:$AE$439,2,FALSE)),'Preliminary SO66'!V4,VLOOKUP($CZ7,'Audit Values'!$A$2:$AE$439,22,FALSE))</f>
        <v>0</v>
      </c>
      <c r="CS7" s="1">
        <f t="shared" si="129"/>
        <v>0</v>
      </c>
      <c r="CT7" s="2">
        <f>IF(ISNA(VLOOKUP($CZ7,'Audit Values'!$A$2:$AE$439,2,FALSE)),'Preliminary SO66'!W4,VLOOKUP($CZ7,'Audit Values'!$A$2:$AE$439,23,FALSE))</f>
        <v>0</v>
      </c>
      <c r="CU7" s="1">
        <f t="shared" si="113"/>
        <v>0</v>
      </c>
      <c r="CV7" s="1">
        <f t="shared" si="114"/>
        <v>0</v>
      </c>
      <c r="CW7" s="176">
        <v>0</v>
      </c>
      <c r="CX7" s="2">
        <f>IF(CW7&gt;0,Weightings!$M$11*AR7,0)</f>
        <v>0</v>
      </c>
      <c r="CY7" s="2">
        <f t="shared" si="130"/>
        <v>0</v>
      </c>
      <c r="CZ7" s="108" t="s">
        <v>299</v>
      </c>
    </row>
    <row r="8" spans="1:104">
      <c r="A8" s="82">
        <v>105</v>
      </c>
      <c r="B8" s="4" t="s">
        <v>53</v>
      </c>
      <c r="C8" s="4" t="s">
        <v>635</v>
      </c>
      <c r="D8" s="1">
        <v>309</v>
      </c>
      <c r="E8" s="1">
        <v>0</v>
      </c>
      <c r="F8" s="1">
        <f t="shared" si="115"/>
        <v>309</v>
      </c>
      <c r="G8" s="1">
        <v>304.5</v>
      </c>
      <c r="H8" s="1">
        <v>0</v>
      </c>
      <c r="I8" s="1">
        <f t="shared" si="116"/>
        <v>304.5</v>
      </c>
      <c r="J8" s="1">
        <f t="shared" si="79"/>
        <v>310.5</v>
      </c>
      <c r="K8" s="1">
        <f>IF(ISNA(VLOOKUP($CZ8,'Audit Values'!$A$2:$AE$439,2,FALSE)),'Preliminary SO66'!B5,VLOOKUP($CZ8,'Audit Values'!$A$2:$AE$439,31,FALSE))</f>
        <v>310.5</v>
      </c>
      <c r="L8" s="1">
        <f t="shared" si="80"/>
        <v>310.5</v>
      </c>
      <c r="M8" s="1">
        <f>IF(ISNA(VLOOKUP($CZ8,'Audit Values'!$A$2:$AE$439,2,FALSE)),'Preliminary SO66'!Z5,VLOOKUP($CZ8,'Audit Values'!$A$2:$AE$439,26,FALSE))</f>
        <v>0</v>
      </c>
      <c r="N8" s="1">
        <f t="shared" si="81"/>
        <v>310.5</v>
      </c>
      <c r="O8" s="1">
        <f>IF(ISNA(VLOOKUP($CZ8,'Audit Values'!$A$2:$AE$439,2,FALSE)),'Preliminary SO66'!C5,IF(VLOOKUP($CZ8,'Audit Values'!$A$2:$AE$439,28,FALSE)="",VLOOKUP($CZ8,'Audit Values'!$A$2:$AE$439,3,FALSE),VLOOKUP($CZ8,'Audit Values'!$A$2:$AE$439,28,FALSE)))</f>
        <v>0</v>
      </c>
      <c r="P8" s="109">
        <f t="shared" si="82"/>
        <v>310.5</v>
      </c>
      <c r="Q8" s="110">
        <f t="shared" si="83"/>
        <v>310.5</v>
      </c>
      <c r="R8" s="111">
        <f t="shared" si="84"/>
        <v>310.5</v>
      </c>
      <c r="S8" s="1">
        <f t="shared" si="85"/>
        <v>310.5</v>
      </c>
      <c r="T8" s="1">
        <f t="shared" si="86"/>
        <v>0</v>
      </c>
      <c r="U8" s="1">
        <f t="shared" si="87"/>
        <v>149.19999999999999</v>
      </c>
      <c r="V8" s="1">
        <f t="shared" si="88"/>
        <v>149.19999999999999</v>
      </c>
      <c r="W8" s="1">
        <f t="shared" si="89"/>
        <v>0</v>
      </c>
      <c r="X8" s="1">
        <f>IF(ISNA(VLOOKUP($CZ8,'Audit Values'!$A$2:$AE$439,2,FALSE)),'Preliminary SO66'!D5,VLOOKUP($CZ8,'Audit Values'!$A$2:$AE$439,4,FALSE))</f>
        <v>76.3</v>
      </c>
      <c r="Y8" s="1">
        <f>ROUND((X8/6)*Weightings!$M$6,1)</f>
        <v>6.4</v>
      </c>
      <c r="Z8" s="1">
        <f>IF(ISNA(VLOOKUP($CZ8,'Audit Values'!$A$2:$AE$439,2,FALSE)),'Preliminary SO66'!F5,VLOOKUP($CZ8,'Audit Values'!$A$2:$AE$439,6,FALSE))</f>
        <v>66.7</v>
      </c>
      <c r="AA8" s="1">
        <f>ROUND((Z8/6)*Weightings!$M$7,1)</f>
        <v>4.4000000000000004</v>
      </c>
      <c r="AB8" s="2">
        <f>IF(ISNA(VLOOKUP($CZ8,'Audit Values'!$A$2:$AE$439,2,FALSE)),'Preliminary SO66'!H5,VLOOKUP($CZ8,'Audit Values'!$A$2:$AE$439,8,FALSE))</f>
        <v>121</v>
      </c>
      <c r="AC8" s="1">
        <f>ROUND(AB8*Weightings!$M$8,1)</f>
        <v>55.2</v>
      </c>
      <c r="AD8" s="1">
        <f t="shared" si="117"/>
        <v>3.4</v>
      </c>
      <c r="AE8" s="185">
        <v>18</v>
      </c>
      <c r="AF8" s="1">
        <f>AE8*Weightings!$M$9</f>
        <v>0.8</v>
      </c>
      <c r="AG8" s="1">
        <f>IF(ISNA(VLOOKUP($CZ8,'Audit Values'!$A$2:$AE$439,2,FALSE)),'Preliminary SO66'!L5,VLOOKUP($CZ8,'Audit Values'!$A$2:$AE$439,12,FALSE))</f>
        <v>0</v>
      </c>
      <c r="AH8" s="1">
        <f>ROUND(AG8*Weightings!$M$10,1)</f>
        <v>0</v>
      </c>
      <c r="AI8" s="1">
        <f>IF(ISNA(VLOOKUP($CZ8,'Audit Values'!$A$2:$AE$439,2,FALSE)),'Preliminary SO66'!O5,VLOOKUP($CZ8,'Audit Values'!$A$2:$AE$439,15,FALSE))</f>
        <v>92.5</v>
      </c>
      <c r="AJ8" s="1">
        <f t="shared" si="90"/>
        <v>39.200000000000003</v>
      </c>
      <c r="AK8" s="1">
        <f>CC8/Weightings!$M$5</f>
        <v>0</v>
      </c>
      <c r="AL8" s="1">
        <f>CD8/Weightings!$M$5</f>
        <v>0</v>
      </c>
      <c r="AM8" s="1">
        <f>CH8/Weightings!$M$5</f>
        <v>0</v>
      </c>
      <c r="AN8" s="1">
        <f t="shared" si="118"/>
        <v>0</v>
      </c>
      <c r="AO8" s="1">
        <f>IF(ISNA(VLOOKUP($CZ8,'Audit Values'!$A$2:$AE$439,2,FALSE)),'Preliminary SO66'!X5,VLOOKUP($CZ8,'Audit Values'!$A$2:$AE$439,24,FALSE))</f>
        <v>0</v>
      </c>
      <c r="AP8" s="188">
        <v>259046</v>
      </c>
      <c r="AQ8" s="113">
        <f>AP8/Weightings!$M$5</f>
        <v>67.5</v>
      </c>
      <c r="AR8" s="113">
        <f t="shared" si="91"/>
        <v>569.1</v>
      </c>
      <c r="AS8" s="1">
        <f t="shared" si="92"/>
        <v>636.6</v>
      </c>
      <c r="AT8" s="1">
        <f t="shared" si="93"/>
        <v>636.6</v>
      </c>
      <c r="AU8" s="2">
        <f t="shared" si="119"/>
        <v>0</v>
      </c>
      <c r="AV8" s="82">
        <f>IF(ISNA(VLOOKUP($CZ8,'Audit Values'!$A$2:$AC$360,2,FALSE)),"",IF(AND(Weightings!H8&gt;0,VLOOKUP($CZ8,'Audit Values'!$A$2:$AC$360,29,FALSE)&lt;Weightings!H8),Weightings!H8,VLOOKUP($CZ8,'Audit Values'!$A$2:$AC$360,29,FALSE)))</f>
        <v>9</v>
      </c>
      <c r="AW8" s="82" t="str">
        <f>IF(ISNA(VLOOKUP($CZ8,'Audit Values'!$A$2:$AD$360,2,FALSE)),"",VLOOKUP($CZ8,'Audit Values'!$A$2:$AD$360,30,FALSE))</f>
        <v>A</v>
      </c>
      <c r="AX8" s="82" t="str">
        <f>IF(Weightings!G8="","",IF(Weightings!I8="Pending","PX","R"))</f>
        <v/>
      </c>
      <c r="AY8" s="114">
        <f>AR8*Weightings!$M$5+AU8</f>
        <v>2184206</v>
      </c>
      <c r="AZ8" s="2">
        <f>AT8*Weightings!$M$5+AU8</f>
        <v>2443271</v>
      </c>
      <c r="BA8" s="2">
        <f>IF(Weightings!G8&gt;0,Weightings!G8,'Preliminary SO66'!AB5)</f>
        <v>2473207</v>
      </c>
      <c r="BB8" s="2">
        <f t="shared" si="94"/>
        <v>2443271</v>
      </c>
      <c r="BC8" s="124"/>
      <c r="BD8" s="124">
        <f>Weightings!E8</f>
        <v>0</v>
      </c>
      <c r="BE8" s="124">
        <f>Weightings!F8</f>
        <v>0</v>
      </c>
      <c r="BF8" s="2">
        <f t="shared" si="95"/>
        <v>0</v>
      </c>
      <c r="BG8" s="2">
        <f t="shared" si="96"/>
        <v>2443271</v>
      </c>
      <c r="BH8" s="2">
        <f>MAX(ROUND(((AR8-AO8)*4433)+AP8,0),ROUND(((AR8-AO8)*4433)+Weightings!B8,0))</f>
        <v>2856423</v>
      </c>
      <c r="BI8" s="174">
        <v>0.3</v>
      </c>
      <c r="BJ8" s="2">
        <f t="shared" si="97"/>
        <v>856927</v>
      </c>
      <c r="BK8" s="173">
        <v>855996</v>
      </c>
      <c r="BL8" s="2">
        <f t="shared" si="98"/>
        <v>855996</v>
      </c>
      <c r="BM8" s="3">
        <f t="shared" si="120"/>
        <v>0.29970000000000002</v>
      </c>
      <c r="BN8" s="1">
        <f t="shared" si="99"/>
        <v>0</v>
      </c>
      <c r="BO8" s="4" t="b">
        <f t="shared" si="100"/>
        <v>0</v>
      </c>
      <c r="BP8" s="5">
        <f t="shared" si="101"/>
        <v>0</v>
      </c>
      <c r="BQ8" s="6">
        <f t="shared" si="102"/>
        <v>0</v>
      </c>
      <c r="BR8" s="4">
        <f t="shared" si="103"/>
        <v>0</v>
      </c>
      <c r="BS8" s="4" t="b">
        <f t="shared" si="104"/>
        <v>1</v>
      </c>
      <c r="BT8" s="4">
        <f t="shared" si="105"/>
        <v>12.9938</v>
      </c>
      <c r="BU8" s="6">
        <f t="shared" si="106"/>
        <v>0.48061900000000002</v>
      </c>
      <c r="BV8" s="1">
        <f t="shared" si="107"/>
        <v>149.19999999999999</v>
      </c>
      <c r="BW8" s="1">
        <f t="shared" si="108"/>
        <v>0</v>
      </c>
      <c r="BX8" s="116">
        <v>740.1</v>
      </c>
      <c r="BY8" s="7">
        <f t="shared" si="121"/>
        <v>0.12</v>
      </c>
      <c r="BZ8" s="7">
        <f>IF(ROUND((Weightings!$P$5*BY8^Weightings!$P$6*Weightings!$P$8 ),2)&lt;Weightings!$P$7,Weightings!$P$7,ROUND((Weightings!$P$5*BY8^Weightings!$P$6*Weightings!$P$8 ),2))</f>
        <v>1625.6</v>
      </c>
      <c r="CA8" s="8">
        <f>ROUND(BZ8/Weightings!$M$5,4)</f>
        <v>0.42359999999999998</v>
      </c>
      <c r="CB8" s="1">
        <f t="shared" si="122"/>
        <v>39.200000000000003</v>
      </c>
      <c r="CC8" s="173">
        <v>0</v>
      </c>
      <c r="CD8" s="173">
        <v>0</v>
      </c>
      <c r="CE8" s="173">
        <v>0</v>
      </c>
      <c r="CF8" s="177">
        <v>0</v>
      </c>
      <c r="CG8" s="2">
        <f>AS8*Weightings!$M$5*CF8</f>
        <v>0</v>
      </c>
      <c r="CH8" s="2">
        <f t="shared" si="123"/>
        <v>0</v>
      </c>
      <c r="CI8" s="117">
        <f t="shared" si="111"/>
        <v>0.39</v>
      </c>
      <c r="CJ8" s="4">
        <f t="shared" si="112"/>
        <v>0.4</v>
      </c>
      <c r="CK8" s="1">
        <f t="shared" si="124"/>
        <v>0</v>
      </c>
      <c r="CL8" s="1">
        <f t="shared" si="125"/>
        <v>0</v>
      </c>
      <c r="CM8" s="1">
        <f t="shared" si="126"/>
        <v>3.4</v>
      </c>
      <c r="CN8" s="1">
        <f>IF(ISNA(VLOOKUP($CZ8,'Audit Values'!$A$2:$AE$439,2,FALSE)),'Preliminary SO66'!T5,VLOOKUP($CZ8,'Audit Values'!$A$2:$AE$439,20,FALSE))</f>
        <v>0</v>
      </c>
      <c r="CO8" s="1">
        <f t="shared" si="127"/>
        <v>0</v>
      </c>
      <c r="CP8" s="183">
        <v>0</v>
      </c>
      <c r="CQ8" s="1">
        <f t="shared" si="128"/>
        <v>0</v>
      </c>
      <c r="CR8" s="2">
        <f>IF(ISNA(VLOOKUP($CZ8,'Audit Values'!$A$2:$AE$439,2,FALSE)),'Preliminary SO66'!V5,VLOOKUP($CZ8,'Audit Values'!$A$2:$AE$439,22,FALSE))</f>
        <v>0</v>
      </c>
      <c r="CS8" s="1">
        <f t="shared" si="129"/>
        <v>0</v>
      </c>
      <c r="CT8" s="2">
        <f>IF(ISNA(VLOOKUP($CZ8,'Audit Values'!$A$2:$AE$439,2,FALSE)),'Preliminary SO66'!W5,VLOOKUP($CZ8,'Audit Values'!$A$2:$AE$439,23,FALSE))</f>
        <v>0</v>
      </c>
      <c r="CU8" s="1">
        <f t="shared" si="113"/>
        <v>0</v>
      </c>
      <c r="CV8" s="1">
        <f t="shared" si="114"/>
        <v>0</v>
      </c>
      <c r="CW8" s="176">
        <v>0</v>
      </c>
      <c r="CX8" s="2">
        <f>IF(CW8&gt;0,Weightings!$M$11*AR8,0)</f>
        <v>0</v>
      </c>
      <c r="CY8" s="2">
        <f t="shared" si="130"/>
        <v>0</v>
      </c>
      <c r="CZ8" s="108" t="s">
        <v>300</v>
      </c>
    </row>
    <row r="9" spans="1:104">
      <c r="A9" s="82">
        <v>106</v>
      </c>
      <c r="B9" s="4" t="s">
        <v>49</v>
      </c>
      <c r="C9" s="4" t="s">
        <v>636</v>
      </c>
      <c r="D9" s="1">
        <v>146.5</v>
      </c>
      <c r="E9" s="1">
        <v>0</v>
      </c>
      <c r="F9" s="1">
        <f t="shared" si="115"/>
        <v>146.5</v>
      </c>
      <c r="G9" s="1">
        <v>148</v>
      </c>
      <c r="H9" s="1">
        <v>0</v>
      </c>
      <c r="I9" s="1">
        <f t="shared" si="116"/>
        <v>148</v>
      </c>
      <c r="J9" s="1">
        <f t="shared" si="79"/>
        <v>129</v>
      </c>
      <c r="K9" s="1">
        <f>IF(ISNA(VLOOKUP($CZ9,'Audit Values'!$A$2:$AE$439,2,FALSE)),'Preliminary SO66'!B6,VLOOKUP($CZ9,'Audit Values'!$A$2:$AE$439,31,FALSE))</f>
        <v>129</v>
      </c>
      <c r="L9" s="1">
        <f t="shared" si="80"/>
        <v>148</v>
      </c>
      <c r="M9" s="1">
        <f>IF(ISNA(VLOOKUP($CZ9,'Audit Values'!$A$2:$AE$439,2,FALSE)),'Preliminary SO66'!Z6,VLOOKUP($CZ9,'Audit Values'!$A$2:$AE$439,26,FALSE))</f>
        <v>0</v>
      </c>
      <c r="N9" s="1">
        <f t="shared" si="81"/>
        <v>148</v>
      </c>
      <c r="O9" s="1">
        <f>IF(ISNA(VLOOKUP($CZ9,'Audit Values'!$A$2:$AE$439,2,FALSE)),'Preliminary SO66'!C6,IF(VLOOKUP($CZ9,'Audit Values'!$A$2:$AE$439,28,FALSE)="",VLOOKUP($CZ9,'Audit Values'!$A$2:$AE$439,3,FALSE),VLOOKUP($CZ9,'Audit Values'!$A$2:$AE$439,28,FALSE)))</f>
        <v>0</v>
      </c>
      <c r="P9" s="109">
        <f t="shared" si="82"/>
        <v>129</v>
      </c>
      <c r="Q9" s="110">
        <f t="shared" si="83"/>
        <v>129</v>
      </c>
      <c r="R9" s="111">
        <f t="shared" si="84"/>
        <v>129</v>
      </c>
      <c r="S9" s="1">
        <f t="shared" si="85"/>
        <v>148</v>
      </c>
      <c r="T9" s="1">
        <f t="shared" si="86"/>
        <v>0</v>
      </c>
      <c r="U9" s="1">
        <f t="shared" si="87"/>
        <v>131.30000000000001</v>
      </c>
      <c r="V9" s="1">
        <f t="shared" si="88"/>
        <v>131.30000000000001</v>
      </c>
      <c r="W9" s="1">
        <f t="shared" si="89"/>
        <v>0</v>
      </c>
      <c r="X9" s="1">
        <f>IF(ISNA(VLOOKUP($CZ9,'Audit Values'!$A$2:$AE$439,2,FALSE)),'Preliminary SO66'!D6,VLOOKUP($CZ9,'Audit Values'!$A$2:$AE$439,4,FALSE))</f>
        <v>9</v>
      </c>
      <c r="Y9" s="1">
        <f>ROUND((X9/6)*Weightings!$M$6,1)</f>
        <v>0.8</v>
      </c>
      <c r="Z9" s="1">
        <f>IF(ISNA(VLOOKUP($CZ9,'Audit Values'!$A$2:$AE$439,2,FALSE)),'Preliminary SO66'!F6,VLOOKUP($CZ9,'Audit Values'!$A$2:$AE$439,6,FALSE))</f>
        <v>57</v>
      </c>
      <c r="AA9" s="1">
        <f>ROUND((Z9/6)*Weightings!$M$7,1)</f>
        <v>3.8</v>
      </c>
      <c r="AB9" s="2">
        <f>IF(ISNA(VLOOKUP($CZ9,'Audit Values'!$A$2:$AE$439,2,FALSE)),'Preliminary SO66'!H6,VLOOKUP($CZ9,'Audit Values'!$A$2:$AE$439,8,FALSE))</f>
        <v>71</v>
      </c>
      <c r="AC9" s="1">
        <f>ROUND(AB9*Weightings!$M$8,1)</f>
        <v>32.4</v>
      </c>
      <c r="AD9" s="1">
        <f t="shared" si="117"/>
        <v>6.5</v>
      </c>
      <c r="AE9" s="185">
        <v>14</v>
      </c>
      <c r="AF9" s="1">
        <f>AE9*Weightings!$M$9</f>
        <v>0.7</v>
      </c>
      <c r="AG9" s="1">
        <f>IF(ISNA(VLOOKUP($CZ9,'Audit Values'!$A$2:$AE$439,2,FALSE)),'Preliminary SO66'!L6,VLOOKUP($CZ9,'Audit Values'!$A$2:$AE$439,12,FALSE))</f>
        <v>0</v>
      </c>
      <c r="AH9" s="1">
        <f>ROUND(AG9*Weightings!$M$10,1)</f>
        <v>0</v>
      </c>
      <c r="AI9" s="1">
        <f>IF(ISNA(VLOOKUP($CZ9,'Audit Values'!$A$2:$AE$439,2,FALSE)),'Preliminary SO66'!O6,VLOOKUP($CZ9,'Audit Values'!$A$2:$AE$439,15,FALSE))</f>
        <v>59</v>
      </c>
      <c r="AJ9" s="1">
        <f t="shared" si="90"/>
        <v>26</v>
      </c>
      <c r="AK9" s="1">
        <f>CC9/Weightings!$M$5</f>
        <v>0</v>
      </c>
      <c r="AL9" s="1">
        <f>CD9/Weightings!$M$5</f>
        <v>0</v>
      </c>
      <c r="AM9" s="1">
        <f>CH9/Weightings!$M$5</f>
        <v>0</v>
      </c>
      <c r="AN9" s="1">
        <f t="shared" si="118"/>
        <v>0</v>
      </c>
      <c r="AO9" s="1">
        <f>IF(ISNA(VLOOKUP($CZ9,'Audit Values'!$A$2:$AE$439,2,FALSE)),'Preliminary SO66'!X6,VLOOKUP($CZ9,'Audit Values'!$A$2:$AE$439,24,FALSE))</f>
        <v>0</v>
      </c>
      <c r="AP9" s="188">
        <v>108436</v>
      </c>
      <c r="AQ9" s="113">
        <f>AP9/Weightings!$M$5</f>
        <v>28.3</v>
      </c>
      <c r="AR9" s="113">
        <f t="shared" si="91"/>
        <v>349.5</v>
      </c>
      <c r="AS9" s="1">
        <f t="shared" si="92"/>
        <v>377.8</v>
      </c>
      <c r="AT9" s="1">
        <f t="shared" si="93"/>
        <v>377.8</v>
      </c>
      <c r="AU9" s="2">
        <f t="shared" si="119"/>
        <v>0</v>
      </c>
      <c r="AV9" s="82">
        <f>IF(ISNA(VLOOKUP($CZ9,'Audit Values'!$A$2:$AC$360,2,FALSE)),"",IF(AND(Weightings!H9&gt;0,VLOOKUP($CZ9,'Audit Values'!$A$2:$AC$360,29,FALSE)&lt;Weightings!H9),Weightings!H9,VLOOKUP($CZ9,'Audit Values'!$A$2:$AC$360,29,FALSE)))</f>
        <v>8</v>
      </c>
      <c r="AW9" s="82" t="str">
        <f>IF(ISNA(VLOOKUP($CZ9,'Audit Values'!$A$2:$AD$360,2,FALSE)),"",VLOOKUP($CZ9,'Audit Values'!$A$2:$AD$360,30,FALSE))</f>
        <v>A</v>
      </c>
      <c r="AX9" s="82" t="str">
        <f>IF(Weightings!G9="","",IF(Weightings!I9="Pending","PX","R"))</f>
        <v/>
      </c>
      <c r="AY9" s="114">
        <f>AR9*Weightings!$M$5+AU9</f>
        <v>1341381</v>
      </c>
      <c r="AZ9" s="2">
        <f>AT9*Weightings!$M$5+AU9</f>
        <v>1449996</v>
      </c>
      <c r="BA9" s="2">
        <f>IF(Weightings!G9&gt;0,Weightings!G9,'Preliminary SO66'!AB6)</f>
        <v>1484538</v>
      </c>
      <c r="BB9" s="2">
        <f t="shared" si="94"/>
        <v>1449996</v>
      </c>
      <c r="BC9" s="124"/>
      <c r="BD9" s="124">
        <f>Weightings!E9</f>
        <v>0</v>
      </c>
      <c r="BE9" s="124">
        <f>Weightings!F9</f>
        <v>0</v>
      </c>
      <c r="BF9" s="2">
        <f t="shared" si="95"/>
        <v>0</v>
      </c>
      <c r="BG9" s="2">
        <f t="shared" si="96"/>
        <v>1449996</v>
      </c>
      <c r="BH9" s="2">
        <f>MAX(ROUND(((AR9-AO9)*4433)+AP9,0),ROUND(((AR9-AO9)*4433)+Weightings!B9,0))</f>
        <v>1700676</v>
      </c>
      <c r="BI9" s="174">
        <v>0.3</v>
      </c>
      <c r="BJ9" s="2">
        <f t="shared" si="97"/>
        <v>510203</v>
      </c>
      <c r="BK9" s="173">
        <v>513395</v>
      </c>
      <c r="BL9" s="2">
        <f t="shared" si="98"/>
        <v>510203</v>
      </c>
      <c r="BM9" s="3">
        <f t="shared" si="120"/>
        <v>0.3</v>
      </c>
      <c r="BN9" s="1">
        <f t="shared" si="99"/>
        <v>0</v>
      </c>
      <c r="BO9" s="4" t="b">
        <f t="shared" si="100"/>
        <v>1</v>
      </c>
      <c r="BP9" s="5">
        <f t="shared" si="101"/>
        <v>463.44</v>
      </c>
      <c r="BQ9" s="6">
        <f t="shared" si="102"/>
        <v>0.887096</v>
      </c>
      <c r="BR9" s="4">
        <f t="shared" si="103"/>
        <v>131.30000000000001</v>
      </c>
      <c r="BS9" s="4" t="b">
        <f t="shared" si="104"/>
        <v>0</v>
      </c>
      <c r="BT9" s="4">
        <f t="shared" si="105"/>
        <v>0</v>
      </c>
      <c r="BU9" s="6">
        <f t="shared" si="106"/>
        <v>0</v>
      </c>
      <c r="BV9" s="1">
        <f t="shared" si="107"/>
        <v>0</v>
      </c>
      <c r="BW9" s="1">
        <f t="shared" si="108"/>
        <v>0</v>
      </c>
      <c r="BX9" s="116">
        <v>601.20000000000005</v>
      </c>
      <c r="BY9" s="7">
        <f t="shared" si="121"/>
        <v>0.1</v>
      </c>
      <c r="BZ9" s="7">
        <f>IF(ROUND((Weightings!$P$5*BY9^Weightings!$P$6*Weightings!$P$8 ),2)&lt;Weightings!$P$7,Weightings!$P$7,ROUND((Weightings!$P$5*BY9^Weightings!$P$6*Weightings!$P$8 ),2))</f>
        <v>1694.63</v>
      </c>
      <c r="CA9" s="8">
        <f>ROUND(BZ9/Weightings!$M$5,4)</f>
        <v>0.4415</v>
      </c>
      <c r="CB9" s="1">
        <f t="shared" si="122"/>
        <v>26</v>
      </c>
      <c r="CC9" s="173">
        <v>0</v>
      </c>
      <c r="CD9" s="173">
        <v>0</v>
      </c>
      <c r="CE9" s="173">
        <v>0</v>
      </c>
      <c r="CF9" s="177">
        <v>0</v>
      </c>
      <c r="CG9" s="2">
        <f>AS9*Weightings!$M$5*CF9</f>
        <v>0</v>
      </c>
      <c r="CH9" s="2">
        <f t="shared" si="123"/>
        <v>0</v>
      </c>
      <c r="CI9" s="117">
        <f t="shared" si="111"/>
        <v>0.48</v>
      </c>
      <c r="CJ9" s="4">
        <f t="shared" si="112"/>
        <v>0.2</v>
      </c>
      <c r="CK9" s="1">
        <f t="shared" si="124"/>
        <v>0</v>
      </c>
      <c r="CL9" s="1">
        <f t="shared" si="125"/>
        <v>0</v>
      </c>
      <c r="CM9" s="1">
        <f t="shared" si="126"/>
        <v>6.5</v>
      </c>
      <c r="CN9" s="1">
        <f>IF(ISNA(VLOOKUP($CZ9,'Audit Values'!$A$2:$AE$439,2,FALSE)),'Preliminary SO66'!T6,VLOOKUP($CZ9,'Audit Values'!$A$2:$AE$439,20,FALSE))</f>
        <v>0</v>
      </c>
      <c r="CO9" s="1">
        <f t="shared" si="127"/>
        <v>0</v>
      </c>
      <c r="CP9" s="183">
        <v>0</v>
      </c>
      <c r="CQ9" s="1">
        <f t="shared" si="128"/>
        <v>0</v>
      </c>
      <c r="CR9" s="2">
        <f>IF(ISNA(VLOOKUP($CZ9,'Audit Values'!$A$2:$AE$439,2,FALSE)),'Preliminary SO66'!V6,VLOOKUP($CZ9,'Audit Values'!$A$2:$AE$439,22,FALSE))</f>
        <v>0</v>
      </c>
      <c r="CS9" s="1">
        <f t="shared" si="129"/>
        <v>0</v>
      </c>
      <c r="CT9" s="2">
        <f>IF(ISNA(VLOOKUP($CZ9,'Audit Values'!$A$2:$AE$439,2,FALSE)),'Preliminary SO66'!W6,VLOOKUP($CZ9,'Audit Values'!$A$2:$AE$439,23,FALSE))</f>
        <v>0</v>
      </c>
      <c r="CU9" s="1">
        <f t="shared" si="113"/>
        <v>0</v>
      </c>
      <c r="CV9" s="1">
        <f t="shared" si="114"/>
        <v>0</v>
      </c>
      <c r="CW9" s="176">
        <v>0</v>
      </c>
      <c r="CX9" s="2">
        <f>IF(CW9&gt;0,Weightings!$M$11*AR9,0)</f>
        <v>0</v>
      </c>
      <c r="CY9" s="2">
        <f t="shared" si="130"/>
        <v>0</v>
      </c>
      <c r="CZ9" s="108" t="s">
        <v>301</v>
      </c>
    </row>
    <row r="10" spans="1:104">
      <c r="A10" s="82">
        <v>107</v>
      </c>
      <c r="B10" s="4" t="s">
        <v>9</v>
      </c>
      <c r="C10" s="4" t="s">
        <v>637</v>
      </c>
      <c r="D10" s="1">
        <v>286</v>
      </c>
      <c r="E10" s="1">
        <v>0</v>
      </c>
      <c r="F10" s="1">
        <f t="shared" si="115"/>
        <v>286</v>
      </c>
      <c r="G10" s="1">
        <v>295.5</v>
      </c>
      <c r="H10" s="1">
        <v>0</v>
      </c>
      <c r="I10" s="1">
        <f t="shared" si="116"/>
        <v>295.5</v>
      </c>
      <c r="J10" s="1">
        <f t="shared" si="79"/>
        <v>277</v>
      </c>
      <c r="K10" s="1">
        <f>IF(ISNA(VLOOKUP($CZ10,'Audit Values'!$A$2:$AE$439,2,FALSE)),'Preliminary SO66'!B7,VLOOKUP($CZ10,'Audit Values'!$A$2:$AE$439,31,FALSE))</f>
        <v>277</v>
      </c>
      <c r="L10" s="1">
        <f t="shared" si="80"/>
        <v>295.5</v>
      </c>
      <c r="M10" s="1">
        <f>IF(ISNA(VLOOKUP($CZ10,'Audit Values'!$A$2:$AE$439,2,FALSE)),'Preliminary SO66'!Z7,VLOOKUP($CZ10,'Audit Values'!$A$2:$AE$439,26,FALSE))</f>
        <v>0</v>
      </c>
      <c r="N10" s="1">
        <f t="shared" si="81"/>
        <v>295.5</v>
      </c>
      <c r="O10" s="1">
        <f>IF(ISNA(VLOOKUP($CZ10,'Audit Values'!$A$2:$AE$439,2,FALSE)),'Preliminary SO66'!C7,IF(VLOOKUP($CZ10,'Audit Values'!$A$2:$AE$439,28,FALSE)="",VLOOKUP($CZ10,'Audit Values'!$A$2:$AE$439,3,FALSE),VLOOKUP($CZ10,'Audit Values'!$A$2:$AE$439,28,FALSE)))</f>
        <v>2</v>
      </c>
      <c r="P10" s="109">
        <f t="shared" si="82"/>
        <v>279</v>
      </c>
      <c r="Q10" s="110">
        <f t="shared" si="83"/>
        <v>279</v>
      </c>
      <c r="R10" s="111">
        <f t="shared" si="84"/>
        <v>279</v>
      </c>
      <c r="S10" s="1">
        <f t="shared" si="85"/>
        <v>297.5</v>
      </c>
      <c r="T10" s="1">
        <f t="shared" si="86"/>
        <v>0</v>
      </c>
      <c r="U10" s="1">
        <f t="shared" si="87"/>
        <v>146</v>
      </c>
      <c r="V10" s="1">
        <f t="shared" si="88"/>
        <v>146</v>
      </c>
      <c r="W10" s="1">
        <f t="shared" si="89"/>
        <v>0</v>
      </c>
      <c r="X10" s="1">
        <f>IF(ISNA(VLOOKUP($CZ10,'Audit Values'!$A$2:$AE$439,2,FALSE)),'Preliminary SO66'!D7,VLOOKUP($CZ10,'Audit Values'!$A$2:$AE$439,4,FALSE))</f>
        <v>107.5</v>
      </c>
      <c r="Y10" s="1">
        <f>ROUND((X10/6)*Weightings!$M$6,1)</f>
        <v>9</v>
      </c>
      <c r="Z10" s="1">
        <f>IF(ISNA(VLOOKUP($CZ10,'Audit Values'!$A$2:$AE$439,2,FALSE)),'Preliminary SO66'!F7,VLOOKUP($CZ10,'Audit Values'!$A$2:$AE$439,6,FALSE))</f>
        <v>0</v>
      </c>
      <c r="AA10" s="1">
        <f>ROUND((Z10/6)*Weightings!$M$7,1)</f>
        <v>0</v>
      </c>
      <c r="AB10" s="2">
        <f>IF(ISNA(VLOOKUP($CZ10,'Audit Values'!$A$2:$AE$439,2,FALSE)),'Preliminary SO66'!H7,VLOOKUP($CZ10,'Audit Values'!$A$2:$AE$439,8,FALSE))</f>
        <v>123</v>
      </c>
      <c r="AC10" s="1">
        <f>ROUND(AB10*Weightings!$M$8,1)</f>
        <v>56.1</v>
      </c>
      <c r="AD10" s="1">
        <f t="shared" si="117"/>
        <v>5.4</v>
      </c>
      <c r="AE10" s="185">
        <v>14</v>
      </c>
      <c r="AF10" s="1">
        <f>AE10*Weightings!$M$9</f>
        <v>0.7</v>
      </c>
      <c r="AG10" s="1">
        <f>IF(ISNA(VLOOKUP($CZ10,'Audit Values'!$A$2:$AE$439,2,FALSE)),'Preliminary SO66'!L7,VLOOKUP($CZ10,'Audit Values'!$A$2:$AE$439,12,FALSE))</f>
        <v>0</v>
      </c>
      <c r="AH10" s="1">
        <f>ROUND(AG10*Weightings!$M$10,1)</f>
        <v>0</v>
      </c>
      <c r="AI10" s="1">
        <f>IF(ISNA(VLOOKUP($CZ10,'Audit Values'!$A$2:$AE$439,2,FALSE)),'Preliminary SO66'!O7,VLOOKUP($CZ10,'Audit Values'!$A$2:$AE$439,15,FALSE))</f>
        <v>148</v>
      </c>
      <c r="AJ10" s="1">
        <f t="shared" si="90"/>
        <v>56.4</v>
      </c>
      <c r="AK10" s="1">
        <f>CC10/Weightings!$M$5</f>
        <v>0</v>
      </c>
      <c r="AL10" s="1">
        <f>CD10/Weightings!$M$5</f>
        <v>0</v>
      </c>
      <c r="AM10" s="1">
        <f>CH10/Weightings!$M$5</f>
        <v>0</v>
      </c>
      <c r="AN10" s="1">
        <f t="shared" si="118"/>
        <v>0</v>
      </c>
      <c r="AO10" s="1">
        <f>IF(ISNA(VLOOKUP($CZ10,'Audit Values'!$A$2:$AE$439,2,FALSE)),'Preliminary SO66'!X7,VLOOKUP($CZ10,'Audit Values'!$A$2:$AE$439,24,FALSE))</f>
        <v>0</v>
      </c>
      <c r="AP10" s="188">
        <v>382342</v>
      </c>
      <c r="AQ10" s="113">
        <f>AP10/Weightings!$M$5</f>
        <v>99.6</v>
      </c>
      <c r="AR10" s="113">
        <f t="shared" si="91"/>
        <v>571.1</v>
      </c>
      <c r="AS10" s="1">
        <f t="shared" si="92"/>
        <v>670.7</v>
      </c>
      <c r="AT10" s="1">
        <f t="shared" si="93"/>
        <v>670.7</v>
      </c>
      <c r="AU10" s="2">
        <f t="shared" si="119"/>
        <v>0</v>
      </c>
      <c r="AV10" s="82">
        <f>IF(ISNA(VLOOKUP($CZ10,'Audit Values'!$A$2:$AC$360,2,FALSE)),"",IF(AND(Weightings!H10&gt;0,VLOOKUP($CZ10,'Audit Values'!$A$2:$AC$360,29,FALSE)&lt;Weightings!H10),Weightings!H10,VLOOKUP($CZ10,'Audit Values'!$A$2:$AC$360,29,FALSE)))</f>
        <v>18</v>
      </c>
      <c r="AW10" s="82" t="str">
        <f>IF(ISNA(VLOOKUP($CZ10,'Audit Values'!$A$2:$AD$360,2,FALSE)),"",VLOOKUP($CZ10,'Audit Values'!$A$2:$AD$360,30,FALSE))</f>
        <v>A</v>
      </c>
      <c r="AX10" s="82" t="str">
        <f>IF(Weightings!G10="","",IF(Weightings!I10="Pending","PX","R"))</f>
        <v/>
      </c>
      <c r="AY10" s="114">
        <f>AR10*Weightings!$M$5+AU10</f>
        <v>2191882</v>
      </c>
      <c r="AZ10" s="2">
        <f>AT10*Weightings!$M$5+AU10</f>
        <v>2574147</v>
      </c>
      <c r="BA10" s="2">
        <f>IF(Weightings!G10&gt;0,Weightings!G10,'Preliminary SO66'!AB7)</f>
        <v>2678540</v>
      </c>
      <c r="BB10" s="2">
        <f t="shared" si="94"/>
        <v>2574147</v>
      </c>
      <c r="BC10" s="124"/>
      <c r="BD10" s="124">
        <f>Weightings!E10</f>
        <v>0</v>
      </c>
      <c r="BE10" s="124">
        <f>Weightings!F10</f>
        <v>0</v>
      </c>
      <c r="BF10" s="2">
        <f t="shared" si="95"/>
        <v>0</v>
      </c>
      <c r="BG10" s="2">
        <f t="shared" si="96"/>
        <v>2574147</v>
      </c>
      <c r="BH10" s="2">
        <f>MAX(ROUND(((AR10-AO10)*4433)+AP10,0),ROUND(((AR10-AO10)*4433)+Weightings!B10,0))</f>
        <v>2914028</v>
      </c>
      <c r="BI10" s="174">
        <v>0.3</v>
      </c>
      <c r="BJ10" s="2">
        <f t="shared" si="97"/>
        <v>874208</v>
      </c>
      <c r="BK10" s="173">
        <v>700000</v>
      </c>
      <c r="BL10" s="2">
        <f t="shared" si="98"/>
        <v>700000</v>
      </c>
      <c r="BM10" s="3">
        <f t="shared" si="120"/>
        <v>0.2402</v>
      </c>
      <c r="BN10" s="1">
        <f t="shared" si="99"/>
        <v>0</v>
      </c>
      <c r="BO10" s="4" t="b">
        <f t="shared" si="100"/>
        <v>1</v>
      </c>
      <c r="BP10" s="5">
        <f t="shared" si="101"/>
        <v>1906.8630000000001</v>
      </c>
      <c r="BQ10" s="6">
        <f t="shared" si="102"/>
        <v>0.490813</v>
      </c>
      <c r="BR10" s="4">
        <f t="shared" si="103"/>
        <v>146</v>
      </c>
      <c r="BS10" s="4" t="b">
        <f t="shared" si="104"/>
        <v>0</v>
      </c>
      <c r="BT10" s="4">
        <f t="shared" si="105"/>
        <v>0</v>
      </c>
      <c r="BU10" s="6">
        <f t="shared" si="106"/>
        <v>0</v>
      </c>
      <c r="BV10" s="1">
        <f t="shared" si="107"/>
        <v>0</v>
      </c>
      <c r="BW10" s="1">
        <f t="shared" si="108"/>
        <v>0</v>
      </c>
      <c r="BX10" s="116">
        <v>762</v>
      </c>
      <c r="BY10" s="7">
        <f t="shared" si="121"/>
        <v>0.19</v>
      </c>
      <c r="BZ10" s="7">
        <f>IF(ROUND((Weightings!$P$5*BY10^Weightings!$P$6*Weightings!$P$8 ),2)&lt;Weightings!$P$7,Weightings!$P$7,ROUND((Weightings!$P$5*BY10^Weightings!$P$6*Weightings!$P$8 ),2))</f>
        <v>1463.83</v>
      </c>
      <c r="CA10" s="8">
        <f>ROUND(BZ10/Weightings!$M$5,4)</f>
        <v>0.38140000000000002</v>
      </c>
      <c r="CB10" s="1">
        <f t="shared" si="122"/>
        <v>56.4</v>
      </c>
      <c r="CC10" s="173">
        <v>0</v>
      </c>
      <c r="CD10" s="173">
        <v>0</v>
      </c>
      <c r="CE10" s="173">
        <v>0</v>
      </c>
      <c r="CF10" s="177">
        <v>0</v>
      </c>
      <c r="CG10" s="2">
        <f>AS10*Weightings!$M$5*CF10</f>
        <v>0</v>
      </c>
      <c r="CH10" s="2">
        <f t="shared" si="123"/>
        <v>0</v>
      </c>
      <c r="CI10" s="117">
        <f t="shared" si="111"/>
        <v>0.41299999999999998</v>
      </c>
      <c r="CJ10" s="4">
        <f t="shared" si="112"/>
        <v>0.4</v>
      </c>
      <c r="CK10" s="1">
        <f t="shared" si="124"/>
        <v>0</v>
      </c>
      <c r="CL10" s="1">
        <f t="shared" si="125"/>
        <v>0</v>
      </c>
      <c r="CM10" s="1">
        <f t="shared" si="126"/>
        <v>5.4</v>
      </c>
      <c r="CN10" s="1">
        <f>IF(ISNA(VLOOKUP($CZ10,'Audit Values'!$A$2:$AE$439,2,FALSE)),'Preliminary SO66'!T7,VLOOKUP($CZ10,'Audit Values'!$A$2:$AE$439,20,FALSE))</f>
        <v>0</v>
      </c>
      <c r="CO10" s="1">
        <f t="shared" si="127"/>
        <v>0</v>
      </c>
      <c r="CP10" s="183">
        <v>0</v>
      </c>
      <c r="CQ10" s="1">
        <f t="shared" si="128"/>
        <v>0</v>
      </c>
      <c r="CR10" s="2">
        <f>IF(ISNA(VLOOKUP($CZ10,'Audit Values'!$A$2:$AE$439,2,FALSE)),'Preliminary SO66'!V7,VLOOKUP($CZ10,'Audit Values'!$A$2:$AE$439,22,FALSE))</f>
        <v>0</v>
      </c>
      <c r="CS10" s="1">
        <f t="shared" si="129"/>
        <v>0</v>
      </c>
      <c r="CT10" s="2">
        <f>IF(ISNA(VLOOKUP($CZ10,'Audit Values'!$A$2:$AE$439,2,FALSE)),'Preliminary SO66'!W7,VLOOKUP($CZ10,'Audit Values'!$A$2:$AE$439,23,FALSE))</f>
        <v>0</v>
      </c>
      <c r="CU10" s="1">
        <f t="shared" si="113"/>
        <v>0</v>
      </c>
      <c r="CV10" s="1">
        <f t="shared" si="114"/>
        <v>0</v>
      </c>
      <c r="CW10" s="176">
        <v>0</v>
      </c>
      <c r="CX10" s="2">
        <f>IF(CW10&gt;0,Weightings!$M$11*AR10,0)</f>
        <v>0</v>
      </c>
      <c r="CY10" s="2">
        <f t="shared" si="130"/>
        <v>0</v>
      </c>
      <c r="CZ10" s="108" t="s">
        <v>302</v>
      </c>
    </row>
    <row r="11" spans="1:104">
      <c r="A11" s="82">
        <v>108</v>
      </c>
      <c r="B11" s="4" t="s">
        <v>21</v>
      </c>
      <c r="C11" s="4" t="s">
        <v>638</v>
      </c>
      <c r="D11" s="1">
        <v>393</v>
      </c>
      <c r="E11" s="1">
        <v>0</v>
      </c>
      <c r="F11" s="1">
        <f t="shared" si="115"/>
        <v>393</v>
      </c>
      <c r="G11" s="1">
        <v>359.5</v>
      </c>
      <c r="H11" s="1">
        <v>0</v>
      </c>
      <c r="I11" s="1">
        <f t="shared" si="116"/>
        <v>359.5</v>
      </c>
      <c r="J11" s="1">
        <f t="shared" si="79"/>
        <v>346</v>
      </c>
      <c r="K11" s="1">
        <f>IF(ISNA(VLOOKUP($CZ11,'Audit Values'!$A$2:$AE$439,2,FALSE)),'Preliminary SO66'!B8,VLOOKUP($CZ11,'Audit Values'!$A$2:$AE$439,31,FALSE))</f>
        <v>346</v>
      </c>
      <c r="L11" s="1">
        <f t="shared" si="80"/>
        <v>366.2</v>
      </c>
      <c r="M11" s="1">
        <f>IF(ISNA(VLOOKUP($CZ11,'Audit Values'!$A$2:$AE$439,2,FALSE)),'Preliminary SO66'!Z8,VLOOKUP($CZ11,'Audit Values'!$A$2:$AE$439,26,FALSE))</f>
        <v>0</v>
      </c>
      <c r="N11" s="1">
        <f t="shared" si="81"/>
        <v>366.2</v>
      </c>
      <c r="O11" s="1">
        <f>IF(ISNA(VLOOKUP($CZ11,'Audit Values'!$A$2:$AE$439,2,FALSE)),'Preliminary SO66'!C8,IF(VLOOKUP($CZ11,'Audit Values'!$A$2:$AE$439,28,FALSE)="",VLOOKUP($CZ11,'Audit Values'!$A$2:$AE$439,3,FALSE),VLOOKUP($CZ11,'Audit Values'!$A$2:$AE$439,28,FALSE)))</f>
        <v>0</v>
      </c>
      <c r="P11" s="109">
        <f t="shared" si="82"/>
        <v>346</v>
      </c>
      <c r="Q11" s="110">
        <f t="shared" si="83"/>
        <v>346</v>
      </c>
      <c r="R11" s="111">
        <f t="shared" si="84"/>
        <v>346</v>
      </c>
      <c r="S11" s="1">
        <f t="shared" si="85"/>
        <v>366.2</v>
      </c>
      <c r="T11" s="1">
        <f t="shared" si="86"/>
        <v>0</v>
      </c>
      <c r="U11" s="1">
        <f t="shared" si="87"/>
        <v>169.1</v>
      </c>
      <c r="V11" s="1">
        <f t="shared" si="88"/>
        <v>169.1</v>
      </c>
      <c r="W11" s="1">
        <f t="shared" si="89"/>
        <v>0</v>
      </c>
      <c r="X11" s="1">
        <f>IF(ISNA(VLOOKUP($CZ11,'Audit Values'!$A$2:$AE$439,2,FALSE)),'Preliminary SO66'!D8,VLOOKUP($CZ11,'Audit Values'!$A$2:$AE$439,4,FALSE))</f>
        <v>128</v>
      </c>
      <c r="Y11" s="1">
        <f>ROUND((X11/6)*Weightings!$M$6,1)</f>
        <v>10.7</v>
      </c>
      <c r="Z11" s="1">
        <f>IF(ISNA(VLOOKUP($CZ11,'Audit Values'!$A$2:$AE$439,2,FALSE)),'Preliminary SO66'!F8,VLOOKUP($CZ11,'Audit Values'!$A$2:$AE$439,6,FALSE))</f>
        <v>0</v>
      </c>
      <c r="AA11" s="1">
        <f>ROUND((Z11/6)*Weightings!$M$7,1)</f>
        <v>0</v>
      </c>
      <c r="AB11" s="2">
        <f>IF(ISNA(VLOOKUP($CZ11,'Audit Values'!$A$2:$AE$439,2,FALSE)),'Preliminary SO66'!H8,VLOOKUP($CZ11,'Audit Values'!$A$2:$AE$439,8,FALSE))</f>
        <v>110</v>
      </c>
      <c r="AC11" s="1">
        <f>ROUND(AB11*Weightings!$M$8,1)</f>
        <v>50.2</v>
      </c>
      <c r="AD11" s="1">
        <f t="shared" si="117"/>
        <v>0</v>
      </c>
      <c r="AE11" s="185">
        <v>34</v>
      </c>
      <c r="AF11" s="1">
        <f>AE11*Weightings!$M$9</f>
        <v>1.6</v>
      </c>
      <c r="AG11" s="1">
        <f>IF(ISNA(VLOOKUP($CZ11,'Audit Values'!$A$2:$AE$439,2,FALSE)),'Preliminary SO66'!L8,VLOOKUP($CZ11,'Audit Values'!$A$2:$AE$439,12,FALSE))</f>
        <v>0</v>
      </c>
      <c r="AH11" s="1">
        <f>ROUND(AG11*Weightings!$M$10,1)</f>
        <v>0</v>
      </c>
      <c r="AI11" s="1">
        <f>IF(ISNA(VLOOKUP($CZ11,'Audit Values'!$A$2:$AE$439,2,FALSE)),'Preliminary SO66'!O8,VLOOKUP($CZ11,'Audit Values'!$A$2:$AE$439,15,FALSE))</f>
        <v>147.5</v>
      </c>
      <c r="AJ11" s="1">
        <f t="shared" si="90"/>
        <v>48</v>
      </c>
      <c r="AK11" s="1">
        <f>CC11/Weightings!$M$5</f>
        <v>0</v>
      </c>
      <c r="AL11" s="1">
        <f>CD11/Weightings!$M$5</f>
        <v>0</v>
      </c>
      <c r="AM11" s="1">
        <f>CH11/Weightings!$M$5</f>
        <v>0</v>
      </c>
      <c r="AN11" s="1">
        <f t="shared" si="118"/>
        <v>0</v>
      </c>
      <c r="AO11" s="1">
        <f>IF(ISNA(VLOOKUP($CZ11,'Audit Values'!$A$2:$AE$439,2,FALSE)),'Preliminary SO66'!X8,VLOOKUP($CZ11,'Audit Values'!$A$2:$AE$439,24,FALSE))</f>
        <v>0</v>
      </c>
      <c r="AP11" s="188">
        <v>356687</v>
      </c>
      <c r="AQ11" s="113">
        <f>AP11/Weightings!$M$5</f>
        <v>92.9</v>
      </c>
      <c r="AR11" s="113">
        <f t="shared" si="91"/>
        <v>645.79999999999995</v>
      </c>
      <c r="AS11" s="1">
        <f t="shared" si="92"/>
        <v>738.7</v>
      </c>
      <c r="AT11" s="1">
        <f t="shared" si="93"/>
        <v>738.7</v>
      </c>
      <c r="AU11" s="2">
        <f t="shared" si="119"/>
        <v>0</v>
      </c>
      <c r="AV11" s="82">
        <f>IF(ISNA(VLOOKUP($CZ11,'Audit Values'!$A$2:$AC$360,2,FALSE)),"",IF(AND(Weightings!H11&gt;0,VLOOKUP($CZ11,'Audit Values'!$A$2:$AC$360,29,FALSE)&lt;Weightings!H11),Weightings!H11,VLOOKUP($CZ11,'Audit Values'!$A$2:$AC$360,29,FALSE)))</f>
        <v>2</v>
      </c>
      <c r="AW11" s="82" t="str">
        <f>IF(ISNA(VLOOKUP($CZ11,'Audit Values'!$A$2:$AD$360,2,FALSE)),"",VLOOKUP($CZ11,'Audit Values'!$A$2:$AD$360,30,FALSE))</f>
        <v>A</v>
      </c>
      <c r="AX11" s="82" t="str">
        <f>IF(Weightings!G11="","",IF(Weightings!I11="Pending","PX","R"))</f>
        <v/>
      </c>
      <c r="AY11" s="114">
        <f>AR11*Weightings!$M$5+AU11</f>
        <v>2478580</v>
      </c>
      <c r="AZ11" s="2">
        <f>AT11*Weightings!$M$5+AU11</f>
        <v>2835131</v>
      </c>
      <c r="BA11" s="2">
        <f>IF(Weightings!G11&gt;0,Weightings!G11,'Preliminary SO66'!AB8)</f>
        <v>3023309</v>
      </c>
      <c r="BB11" s="2">
        <f t="shared" si="94"/>
        <v>2835131</v>
      </c>
      <c r="BC11" s="124"/>
      <c r="BD11" s="124">
        <f>Weightings!E11</f>
        <v>0</v>
      </c>
      <c r="BE11" s="124">
        <f>Weightings!F11</f>
        <v>0</v>
      </c>
      <c r="BF11" s="2">
        <f t="shared" si="95"/>
        <v>0</v>
      </c>
      <c r="BG11" s="2">
        <f t="shared" si="96"/>
        <v>2835131</v>
      </c>
      <c r="BH11" s="2">
        <f>MAX(ROUND(((AR11-AO11)*4433)+AP11,0),ROUND(((AR11-AO11)*4433)+Weightings!B11,0))</f>
        <v>3411162</v>
      </c>
      <c r="BI11" s="174">
        <v>0.3</v>
      </c>
      <c r="BJ11" s="2">
        <f t="shared" si="97"/>
        <v>1023349</v>
      </c>
      <c r="BK11" s="173">
        <v>1045691</v>
      </c>
      <c r="BL11" s="2">
        <f t="shared" si="98"/>
        <v>1023349</v>
      </c>
      <c r="BM11" s="3">
        <f t="shared" si="120"/>
        <v>0.3</v>
      </c>
      <c r="BN11" s="1">
        <f t="shared" si="99"/>
        <v>0</v>
      </c>
      <c r="BO11" s="4" t="b">
        <f t="shared" si="100"/>
        <v>0</v>
      </c>
      <c r="BP11" s="5">
        <f t="shared" si="101"/>
        <v>0</v>
      </c>
      <c r="BQ11" s="6">
        <f t="shared" si="102"/>
        <v>0</v>
      </c>
      <c r="BR11" s="4">
        <f t="shared" si="103"/>
        <v>0</v>
      </c>
      <c r="BS11" s="4" t="b">
        <f t="shared" si="104"/>
        <v>1</v>
      </c>
      <c r="BT11" s="4">
        <f t="shared" si="105"/>
        <v>81.922499999999999</v>
      </c>
      <c r="BU11" s="6">
        <f t="shared" si="106"/>
        <v>0.46169500000000002</v>
      </c>
      <c r="BV11" s="1">
        <f t="shared" si="107"/>
        <v>169.1</v>
      </c>
      <c r="BW11" s="1">
        <f t="shared" si="108"/>
        <v>0</v>
      </c>
      <c r="BX11" s="116">
        <v>389</v>
      </c>
      <c r="BY11" s="7">
        <f t="shared" si="121"/>
        <v>0.38</v>
      </c>
      <c r="BZ11" s="7">
        <f>IF(ROUND((Weightings!$P$5*BY11^Weightings!$P$6*Weightings!$P$8 ),2)&lt;Weightings!$P$7,Weightings!$P$7,ROUND((Weightings!$P$5*BY11^Weightings!$P$6*Weightings!$P$8 ),2))</f>
        <v>1249.76</v>
      </c>
      <c r="CA11" s="8">
        <f>ROUND(BZ11/Weightings!$M$5,4)</f>
        <v>0.3256</v>
      </c>
      <c r="CB11" s="1">
        <f t="shared" si="122"/>
        <v>48</v>
      </c>
      <c r="CC11" s="173">
        <v>0</v>
      </c>
      <c r="CD11" s="173">
        <v>0</v>
      </c>
      <c r="CE11" s="173">
        <v>0</v>
      </c>
      <c r="CF11" s="177">
        <v>0</v>
      </c>
      <c r="CG11" s="2">
        <f>AS11*Weightings!$M$5*CF11</f>
        <v>0</v>
      </c>
      <c r="CH11" s="2">
        <f t="shared" si="123"/>
        <v>0</v>
      </c>
      <c r="CI11" s="117">
        <f t="shared" si="111"/>
        <v>0.3</v>
      </c>
      <c r="CJ11" s="4">
        <f t="shared" si="112"/>
        <v>0.9</v>
      </c>
      <c r="CK11" s="1">
        <f t="shared" si="124"/>
        <v>0</v>
      </c>
      <c r="CL11" s="1">
        <f t="shared" si="125"/>
        <v>0</v>
      </c>
      <c r="CM11" s="1">
        <f t="shared" si="126"/>
        <v>0</v>
      </c>
      <c r="CN11" s="1">
        <f>IF(ISNA(VLOOKUP($CZ11,'Audit Values'!$A$2:$AE$439,2,FALSE)),'Preliminary SO66'!T8,VLOOKUP($CZ11,'Audit Values'!$A$2:$AE$439,20,FALSE))</f>
        <v>0</v>
      </c>
      <c r="CO11" s="1">
        <f t="shared" si="127"/>
        <v>0</v>
      </c>
      <c r="CP11" s="183">
        <v>0</v>
      </c>
      <c r="CQ11" s="1">
        <f t="shared" si="128"/>
        <v>0</v>
      </c>
      <c r="CR11" s="2">
        <f>IF(ISNA(VLOOKUP($CZ11,'Audit Values'!$A$2:$AE$439,2,FALSE)),'Preliminary SO66'!V8,VLOOKUP($CZ11,'Audit Values'!$A$2:$AE$439,22,FALSE))</f>
        <v>0</v>
      </c>
      <c r="CS11" s="1">
        <f t="shared" si="129"/>
        <v>0</v>
      </c>
      <c r="CT11" s="2">
        <f>IF(ISNA(VLOOKUP($CZ11,'Audit Values'!$A$2:$AE$439,2,FALSE)),'Preliminary SO66'!W8,VLOOKUP($CZ11,'Audit Values'!$A$2:$AE$439,23,FALSE))</f>
        <v>0</v>
      </c>
      <c r="CU11" s="1">
        <f t="shared" si="113"/>
        <v>0</v>
      </c>
      <c r="CV11" s="1">
        <f t="shared" si="114"/>
        <v>0</v>
      </c>
      <c r="CW11" s="176">
        <v>0</v>
      </c>
      <c r="CX11" s="2">
        <f>IF(CW11&gt;0,Weightings!$M$11*AR11,0)</f>
        <v>0</v>
      </c>
      <c r="CY11" s="2">
        <f t="shared" si="130"/>
        <v>0</v>
      </c>
      <c r="CZ11" s="108" t="s">
        <v>303</v>
      </c>
    </row>
    <row r="12" spans="1:104">
      <c r="A12" s="82">
        <v>109</v>
      </c>
      <c r="B12" s="4" t="s">
        <v>100</v>
      </c>
      <c r="C12" s="4" t="s">
        <v>639</v>
      </c>
      <c r="D12" s="1">
        <v>464.5</v>
      </c>
      <c r="E12" s="1">
        <v>0</v>
      </c>
      <c r="F12" s="1">
        <f t="shared" si="115"/>
        <v>464.5</v>
      </c>
      <c r="G12" s="1">
        <v>463.5</v>
      </c>
      <c r="H12" s="1">
        <v>0</v>
      </c>
      <c r="I12" s="1">
        <f t="shared" si="116"/>
        <v>463.5</v>
      </c>
      <c r="J12" s="1">
        <f t="shared" si="79"/>
        <v>460</v>
      </c>
      <c r="K12" s="1">
        <f>IF(ISNA(VLOOKUP($CZ12,'Audit Values'!$A$2:$AE$439,2,FALSE)),'Preliminary SO66'!B9,VLOOKUP($CZ12,'Audit Values'!$A$2:$AE$439,31,FALSE))</f>
        <v>460</v>
      </c>
      <c r="L12" s="1">
        <f t="shared" si="80"/>
        <v>463.5</v>
      </c>
      <c r="M12" s="1">
        <f>IF(ISNA(VLOOKUP($CZ12,'Audit Values'!$A$2:$AE$439,2,FALSE)),'Preliminary SO66'!Z9,VLOOKUP($CZ12,'Audit Values'!$A$2:$AE$439,26,FALSE))</f>
        <v>0</v>
      </c>
      <c r="N12" s="1">
        <f t="shared" si="81"/>
        <v>463.5</v>
      </c>
      <c r="O12" s="1">
        <f>IF(ISNA(VLOOKUP($CZ12,'Audit Values'!$A$2:$AE$439,2,FALSE)),'Preliminary SO66'!C9,IF(VLOOKUP($CZ12,'Audit Values'!$A$2:$AE$439,28,FALSE)="",VLOOKUP($CZ12,'Audit Values'!$A$2:$AE$439,3,FALSE),VLOOKUP($CZ12,'Audit Values'!$A$2:$AE$439,28,FALSE)))</f>
        <v>0</v>
      </c>
      <c r="P12" s="109">
        <f t="shared" si="82"/>
        <v>460</v>
      </c>
      <c r="Q12" s="110">
        <f t="shared" si="83"/>
        <v>460</v>
      </c>
      <c r="R12" s="111">
        <f t="shared" si="84"/>
        <v>460</v>
      </c>
      <c r="S12" s="1">
        <f t="shared" si="85"/>
        <v>463.5</v>
      </c>
      <c r="T12" s="1">
        <f t="shared" si="86"/>
        <v>0</v>
      </c>
      <c r="U12" s="1">
        <f t="shared" si="87"/>
        <v>198.7</v>
      </c>
      <c r="V12" s="1">
        <f t="shared" si="88"/>
        <v>198.7</v>
      </c>
      <c r="W12" s="1">
        <f t="shared" si="89"/>
        <v>0</v>
      </c>
      <c r="X12" s="1">
        <f>IF(ISNA(VLOOKUP($CZ12,'Audit Values'!$A$2:$AE$439,2,FALSE)),'Preliminary SO66'!D9,VLOOKUP($CZ12,'Audit Values'!$A$2:$AE$439,4,FALSE))</f>
        <v>90.9</v>
      </c>
      <c r="Y12" s="1">
        <f>ROUND((X12/6)*Weightings!$M$6,1)</f>
        <v>7.6</v>
      </c>
      <c r="Z12" s="1">
        <f>IF(ISNA(VLOOKUP($CZ12,'Audit Values'!$A$2:$AE$439,2,FALSE)),'Preliminary SO66'!F9,VLOOKUP($CZ12,'Audit Values'!$A$2:$AE$439,6,FALSE))</f>
        <v>0</v>
      </c>
      <c r="AA12" s="1">
        <f>ROUND((Z12/6)*Weightings!$M$7,1)</f>
        <v>0</v>
      </c>
      <c r="AB12" s="2">
        <f>IF(ISNA(VLOOKUP($CZ12,'Audit Values'!$A$2:$AE$439,2,FALSE)),'Preliminary SO66'!H9,VLOOKUP($CZ12,'Audit Values'!$A$2:$AE$439,8,FALSE))</f>
        <v>177</v>
      </c>
      <c r="AC12" s="1">
        <f>ROUND(AB12*Weightings!$M$8,1)</f>
        <v>80.7</v>
      </c>
      <c r="AD12" s="1">
        <f t="shared" si="117"/>
        <v>4</v>
      </c>
      <c r="AE12" s="185">
        <v>34</v>
      </c>
      <c r="AF12" s="1">
        <f>AE12*Weightings!$M$9</f>
        <v>1.6</v>
      </c>
      <c r="AG12" s="1">
        <f>IF(ISNA(VLOOKUP($CZ12,'Audit Values'!$A$2:$AE$439,2,FALSE)),'Preliminary SO66'!L9,VLOOKUP($CZ12,'Audit Values'!$A$2:$AE$439,12,FALSE))</f>
        <v>0</v>
      </c>
      <c r="AH12" s="1">
        <f>ROUND(AG12*Weightings!$M$10,1)</f>
        <v>0</v>
      </c>
      <c r="AI12" s="1">
        <f>IF(ISNA(VLOOKUP($CZ12,'Audit Values'!$A$2:$AE$439,2,FALSE)),'Preliminary SO66'!O9,VLOOKUP($CZ12,'Audit Values'!$A$2:$AE$439,15,FALSE))</f>
        <v>189.5</v>
      </c>
      <c r="AJ12" s="1">
        <f t="shared" si="90"/>
        <v>63.3</v>
      </c>
      <c r="AK12" s="1">
        <f>CC12/Weightings!$M$5</f>
        <v>0</v>
      </c>
      <c r="AL12" s="1">
        <f>CD12/Weightings!$M$5</f>
        <v>0</v>
      </c>
      <c r="AM12" s="1">
        <f>CH12/Weightings!$M$5</f>
        <v>0</v>
      </c>
      <c r="AN12" s="1">
        <f t="shared" si="118"/>
        <v>0</v>
      </c>
      <c r="AO12" s="1">
        <f>IF(ISNA(VLOOKUP($CZ12,'Audit Values'!$A$2:$AE$439,2,FALSE)),'Preliminary SO66'!X9,VLOOKUP($CZ12,'Audit Values'!$A$2:$AE$439,24,FALSE))</f>
        <v>0</v>
      </c>
      <c r="AP12" s="188">
        <v>455795</v>
      </c>
      <c r="AQ12" s="113">
        <f>AP12/Weightings!$M$5</f>
        <v>118.8</v>
      </c>
      <c r="AR12" s="113">
        <f t="shared" si="91"/>
        <v>819.4</v>
      </c>
      <c r="AS12" s="1">
        <f t="shared" si="92"/>
        <v>938.2</v>
      </c>
      <c r="AT12" s="1">
        <f t="shared" si="93"/>
        <v>938.2</v>
      </c>
      <c r="AU12" s="2">
        <f t="shared" si="119"/>
        <v>0</v>
      </c>
      <c r="AV12" s="82">
        <f>IF(ISNA(VLOOKUP($CZ12,'Audit Values'!$A$2:$AC$360,2,FALSE)),"",IF(AND(Weightings!H12&gt;0,VLOOKUP($CZ12,'Audit Values'!$A$2:$AC$360,29,FALSE)&lt;Weightings!H12),Weightings!H12,VLOOKUP($CZ12,'Audit Values'!$A$2:$AC$360,29,FALSE)))</f>
        <v>21</v>
      </c>
      <c r="AW12" s="82" t="str">
        <f>IF(ISNA(VLOOKUP($CZ12,'Audit Values'!$A$2:$AD$360,2,FALSE)),"",VLOOKUP($CZ12,'Audit Values'!$A$2:$AD$360,30,FALSE))</f>
        <v>A</v>
      </c>
      <c r="AX12" s="82" t="str">
        <f>IF(Weightings!G12="","",IF(Weightings!I12="Pending","PX","R"))</f>
        <v/>
      </c>
      <c r="AY12" s="114">
        <f>AR12*Weightings!$M$5+AU12</f>
        <v>3144857</v>
      </c>
      <c r="AZ12" s="2">
        <f>AT12*Weightings!$M$5+AU12</f>
        <v>3600812</v>
      </c>
      <c r="BA12" s="2">
        <f>IF(Weightings!G12&gt;0,Weightings!G12,'Preliminary SO66'!AB9)</f>
        <v>3719406</v>
      </c>
      <c r="BB12" s="2">
        <f t="shared" si="94"/>
        <v>3600812</v>
      </c>
      <c r="BC12" s="124"/>
      <c r="BD12" s="124">
        <f>Weightings!E12</f>
        <v>0</v>
      </c>
      <c r="BE12" s="124">
        <f>Weightings!F12</f>
        <v>0</v>
      </c>
      <c r="BF12" s="2">
        <f t="shared" si="95"/>
        <v>0</v>
      </c>
      <c r="BG12" s="2">
        <f t="shared" si="96"/>
        <v>3600812</v>
      </c>
      <c r="BH12" s="2">
        <f>MAX(ROUND(((AR12-AO12)*4433)+AP12,0),ROUND(((AR12-AO12)*4433)+Weightings!B12,0))</f>
        <v>4247660</v>
      </c>
      <c r="BI12" s="174">
        <v>0.3</v>
      </c>
      <c r="BJ12" s="2">
        <f t="shared" si="97"/>
        <v>1274298</v>
      </c>
      <c r="BK12" s="173">
        <v>1260000</v>
      </c>
      <c r="BL12" s="2">
        <f t="shared" si="98"/>
        <v>1260000</v>
      </c>
      <c r="BM12" s="3">
        <f t="shared" si="120"/>
        <v>0.29659999999999997</v>
      </c>
      <c r="BN12" s="1">
        <f t="shared" si="99"/>
        <v>0</v>
      </c>
      <c r="BO12" s="4" t="b">
        <f t="shared" si="100"/>
        <v>0</v>
      </c>
      <c r="BP12" s="5">
        <f t="shared" si="101"/>
        <v>0</v>
      </c>
      <c r="BQ12" s="6">
        <f t="shared" si="102"/>
        <v>0</v>
      </c>
      <c r="BR12" s="4">
        <f t="shared" si="103"/>
        <v>0</v>
      </c>
      <c r="BS12" s="4" t="b">
        <f t="shared" si="104"/>
        <v>1</v>
      </c>
      <c r="BT12" s="4">
        <f t="shared" si="105"/>
        <v>202.3313</v>
      </c>
      <c r="BU12" s="6">
        <f t="shared" si="106"/>
        <v>0.42863699999999999</v>
      </c>
      <c r="BV12" s="1">
        <f t="shared" si="107"/>
        <v>198.7</v>
      </c>
      <c r="BW12" s="1">
        <f t="shared" si="108"/>
        <v>0</v>
      </c>
      <c r="BX12" s="116">
        <v>560</v>
      </c>
      <c r="BY12" s="7">
        <f t="shared" si="121"/>
        <v>0.34</v>
      </c>
      <c r="BZ12" s="7">
        <f>IF(ROUND((Weightings!$P$5*BY12^Weightings!$P$6*Weightings!$P$8 ),2)&lt;Weightings!$P$7,Weightings!$P$7,ROUND((Weightings!$P$5*BY12^Weightings!$P$6*Weightings!$P$8 ),2))</f>
        <v>1281.8699999999999</v>
      </c>
      <c r="CA12" s="8">
        <f>ROUND(BZ12/Weightings!$M$5,4)</f>
        <v>0.33400000000000002</v>
      </c>
      <c r="CB12" s="1">
        <f t="shared" si="122"/>
        <v>63.3</v>
      </c>
      <c r="CC12" s="173">
        <v>0</v>
      </c>
      <c r="CD12" s="173">
        <v>0</v>
      </c>
      <c r="CE12" s="173">
        <v>0</v>
      </c>
      <c r="CF12" s="177">
        <v>0</v>
      </c>
      <c r="CG12" s="2">
        <f>AS12*Weightings!$M$5*CF12</f>
        <v>0</v>
      </c>
      <c r="CH12" s="2">
        <f t="shared" si="123"/>
        <v>0</v>
      </c>
      <c r="CI12" s="117">
        <f t="shared" si="111"/>
        <v>0.38200000000000001</v>
      </c>
      <c r="CJ12" s="4">
        <f t="shared" si="112"/>
        <v>0.8</v>
      </c>
      <c r="CK12" s="1">
        <f t="shared" si="124"/>
        <v>0</v>
      </c>
      <c r="CL12" s="1">
        <f t="shared" si="125"/>
        <v>0</v>
      </c>
      <c r="CM12" s="1">
        <f t="shared" si="126"/>
        <v>4</v>
      </c>
      <c r="CN12" s="1">
        <f>IF(ISNA(VLOOKUP($CZ12,'Audit Values'!$A$2:$AE$439,2,FALSE)),'Preliminary SO66'!T9,VLOOKUP($CZ12,'Audit Values'!$A$2:$AE$439,20,FALSE))</f>
        <v>0</v>
      </c>
      <c r="CO12" s="1">
        <f t="shared" si="127"/>
        <v>0</v>
      </c>
      <c r="CP12" s="183">
        <v>0</v>
      </c>
      <c r="CQ12" s="1">
        <f t="shared" si="128"/>
        <v>0</v>
      </c>
      <c r="CR12" s="2">
        <f>IF(ISNA(VLOOKUP($CZ12,'Audit Values'!$A$2:$AE$439,2,FALSE)),'Preliminary SO66'!V9,VLOOKUP($CZ12,'Audit Values'!$A$2:$AE$439,22,FALSE))</f>
        <v>0</v>
      </c>
      <c r="CS12" s="1">
        <f t="shared" si="129"/>
        <v>0</v>
      </c>
      <c r="CT12" s="2">
        <f>IF(ISNA(VLOOKUP($CZ12,'Audit Values'!$A$2:$AE$439,2,FALSE)),'Preliminary SO66'!W9,VLOOKUP($CZ12,'Audit Values'!$A$2:$AE$439,23,FALSE))</f>
        <v>0</v>
      </c>
      <c r="CU12" s="1">
        <f t="shared" si="113"/>
        <v>0</v>
      </c>
      <c r="CV12" s="1">
        <f t="shared" si="114"/>
        <v>0</v>
      </c>
      <c r="CW12" s="176">
        <v>0</v>
      </c>
      <c r="CX12" s="2">
        <f>IF(CW12&gt;0,Weightings!$M$11*AR12,0)</f>
        <v>0</v>
      </c>
      <c r="CY12" s="2">
        <f t="shared" si="130"/>
        <v>0</v>
      </c>
      <c r="CZ12" s="108" t="s">
        <v>304</v>
      </c>
    </row>
    <row r="13" spans="1:104">
      <c r="A13" s="82">
        <v>110</v>
      </c>
      <c r="B13" s="4" t="s">
        <v>55</v>
      </c>
      <c r="C13" s="4" t="s">
        <v>640</v>
      </c>
      <c r="D13" s="1">
        <v>237</v>
      </c>
      <c r="E13" s="1">
        <v>0</v>
      </c>
      <c r="F13" s="1">
        <f t="shared" si="115"/>
        <v>237</v>
      </c>
      <c r="G13" s="1">
        <v>235</v>
      </c>
      <c r="H13" s="1">
        <v>0</v>
      </c>
      <c r="I13" s="1">
        <f t="shared" si="116"/>
        <v>235</v>
      </c>
      <c r="J13" s="1">
        <f t="shared" si="79"/>
        <v>226</v>
      </c>
      <c r="K13" s="1">
        <f>IF(ISNA(VLOOKUP($CZ13,'Audit Values'!$A$2:$AE$439,2,FALSE)),'Preliminary SO66'!B10,VLOOKUP($CZ13,'Audit Values'!$A$2:$AE$439,31,FALSE))</f>
        <v>226</v>
      </c>
      <c r="L13" s="1">
        <f t="shared" si="80"/>
        <v>235</v>
      </c>
      <c r="M13" s="1">
        <f>IF(ISNA(VLOOKUP($CZ13,'Audit Values'!$A$2:$AE$439,2,FALSE)),'Preliminary SO66'!Z10,VLOOKUP($CZ13,'Audit Values'!$A$2:$AE$439,26,FALSE))</f>
        <v>0</v>
      </c>
      <c r="N13" s="1">
        <f t="shared" si="81"/>
        <v>235</v>
      </c>
      <c r="O13" s="1">
        <f>IF(ISNA(VLOOKUP($CZ13,'Audit Values'!$A$2:$AE$439,2,FALSE)),'Preliminary SO66'!C10,IF(VLOOKUP($CZ13,'Audit Values'!$A$2:$AE$439,28,FALSE)="",VLOOKUP($CZ13,'Audit Values'!$A$2:$AE$439,3,FALSE),VLOOKUP($CZ13,'Audit Values'!$A$2:$AE$439,28,FALSE)))</f>
        <v>1.5</v>
      </c>
      <c r="P13" s="109">
        <f t="shared" si="82"/>
        <v>227.5</v>
      </c>
      <c r="Q13" s="110">
        <f t="shared" si="83"/>
        <v>227.5</v>
      </c>
      <c r="R13" s="111">
        <f t="shared" si="84"/>
        <v>227.5</v>
      </c>
      <c r="S13" s="1">
        <f t="shared" si="85"/>
        <v>236.5</v>
      </c>
      <c r="T13" s="1">
        <f t="shared" si="86"/>
        <v>0</v>
      </c>
      <c r="U13" s="1">
        <f t="shared" si="87"/>
        <v>154.30000000000001</v>
      </c>
      <c r="V13" s="1">
        <f t="shared" si="88"/>
        <v>154.30000000000001</v>
      </c>
      <c r="W13" s="1">
        <f t="shared" si="89"/>
        <v>0</v>
      </c>
      <c r="X13" s="1">
        <f>IF(ISNA(VLOOKUP($CZ13,'Audit Values'!$A$2:$AE$439,2,FALSE)),'Preliminary SO66'!D10,VLOOKUP($CZ13,'Audit Values'!$A$2:$AE$439,4,FALSE))</f>
        <v>58.8</v>
      </c>
      <c r="Y13" s="1">
        <f>ROUND((X13/6)*Weightings!$M$6,1)</f>
        <v>4.9000000000000004</v>
      </c>
      <c r="Z13" s="1">
        <f>IF(ISNA(VLOOKUP($CZ13,'Audit Values'!$A$2:$AE$439,2,FALSE)),'Preliminary SO66'!F10,VLOOKUP($CZ13,'Audit Values'!$A$2:$AE$439,6,FALSE))</f>
        <v>0</v>
      </c>
      <c r="AA13" s="1">
        <f>ROUND((Z13/6)*Weightings!$M$7,1)</f>
        <v>0</v>
      </c>
      <c r="AB13" s="2">
        <f>IF(ISNA(VLOOKUP($CZ13,'Audit Values'!$A$2:$AE$439,2,FALSE)),'Preliminary SO66'!H10,VLOOKUP($CZ13,'Audit Values'!$A$2:$AE$439,8,FALSE))</f>
        <v>94</v>
      </c>
      <c r="AC13" s="1">
        <f>ROUND(AB13*Weightings!$M$8,1)</f>
        <v>42.9</v>
      </c>
      <c r="AD13" s="1">
        <f t="shared" si="117"/>
        <v>3.1</v>
      </c>
      <c r="AE13" s="185">
        <v>27</v>
      </c>
      <c r="AF13" s="1">
        <f>AE13*Weightings!$M$9</f>
        <v>1.3</v>
      </c>
      <c r="AG13" s="1">
        <f>IF(ISNA(VLOOKUP($CZ13,'Audit Values'!$A$2:$AE$439,2,FALSE)),'Preliminary SO66'!L10,VLOOKUP($CZ13,'Audit Values'!$A$2:$AE$439,12,FALSE))</f>
        <v>0</v>
      </c>
      <c r="AH13" s="1">
        <f>ROUND(AG13*Weightings!$M$10,1)</f>
        <v>0</v>
      </c>
      <c r="AI13" s="1">
        <f>IF(ISNA(VLOOKUP($CZ13,'Audit Values'!$A$2:$AE$439,2,FALSE)),'Preliminary SO66'!O10,VLOOKUP($CZ13,'Audit Values'!$A$2:$AE$439,15,FALSE))</f>
        <v>148</v>
      </c>
      <c r="AJ13" s="1">
        <f t="shared" si="90"/>
        <v>50.9</v>
      </c>
      <c r="AK13" s="1">
        <f>CC13/Weightings!$M$5</f>
        <v>0</v>
      </c>
      <c r="AL13" s="1">
        <f>CD13/Weightings!$M$5</f>
        <v>0</v>
      </c>
      <c r="AM13" s="1">
        <f>CH13/Weightings!$M$5</f>
        <v>0</v>
      </c>
      <c r="AN13" s="1">
        <f t="shared" si="118"/>
        <v>0</v>
      </c>
      <c r="AO13" s="1">
        <f>IF(ISNA(VLOOKUP($CZ13,'Audit Values'!$A$2:$AE$439,2,FALSE)),'Preliminary SO66'!X10,VLOOKUP($CZ13,'Audit Values'!$A$2:$AE$439,24,FALSE))</f>
        <v>0</v>
      </c>
      <c r="AP13" s="188">
        <v>297837.99999999994</v>
      </c>
      <c r="AQ13" s="113">
        <f>AP13/Weightings!$M$5</f>
        <v>77.599999999999994</v>
      </c>
      <c r="AR13" s="113">
        <f t="shared" si="91"/>
        <v>493.9</v>
      </c>
      <c r="AS13" s="1">
        <f t="shared" si="92"/>
        <v>571.5</v>
      </c>
      <c r="AT13" s="1">
        <f t="shared" si="93"/>
        <v>571.5</v>
      </c>
      <c r="AU13" s="2">
        <f t="shared" si="119"/>
        <v>0</v>
      </c>
      <c r="AV13" s="82">
        <f>IF(ISNA(VLOOKUP($CZ13,'Audit Values'!$A$2:$AC$360,2,FALSE)),"",IF(AND(Weightings!H13&gt;0,VLOOKUP($CZ13,'Audit Values'!$A$2:$AC$360,29,FALSE)&lt;Weightings!H13),Weightings!H13,VLOOKUP($CZ13,'Audit Values'!$A$2:$AC$360,29,FALSE)))</f>
        <v>11</v>
      </c>
      <c r="AW13" s="82" t="str">
        <f>IF(ISNA(VLOOKUP($CZ13,'Audit Values'!$A$2:$AD$360,2,FALSE)),"",VLOOKUP($CZ13,'Audit Values'!$A$2:$AD$360,30,FALSE))</f>
        <v>A</v>
      </c>
      <c r="AX13" s="82" t="str">
        <f>IF(Weightings!G13="","",IF(Weightings!I13="Pending","PX","R"))</f>
        <v/>
      </c>
      <c r="AY13" s="114">
        <f>AR13*Weightings!$M$5+AU13</f>
        <v>1895588</v>
      </c>
      <c r="AZ13" s="2">
        <f>AT13*Weightings!$M$5+AU13</f>
        <v>2193417</v>
      </c>
      <c r="BA13" s="2">
        <f>IF(Weightings!G13&gt;0,Weightings!G13,'Preliminary SO66'!AB10)</f>
        <v>2310476</v>
      </c>
      <c r="BB13" s="2">
        <f t="shared" si="94"/>
        <v>2193417</v>
      </c>
      <c r="BC13" s="124"/>
      <c r="BD13" s="124">
        <f>Weightings!E13</f>
        <v>0</v>
      </c>
      <c r="BE13" s="124">
        <f>Weightings!F13</f>
        <v>0</v>
      </c>
      <c r="BF13" s="2">
        <f t="shared" si="95"/>
        <v>0</v>
      </c>
      <c r="BG13" s="2">
        <f t="shared" si="96"/>
        <v>2193417</v>
      </c>
      <c r="BH13" s="2">
        <f>MAX(ROUND(((AR13-AO13)*4433)+AP13,0),ROUND(((AR13-AO13)*4433)+Weightings!B13,0))</f>
        <v>2523390</v>
      </c>
      <c r="BI13" s="174">
        <v>0.3</v>
      </c>
      <c r="BJ13" s="2">
        <f t="shared" si="97"/>
        <v>757017</v>
      </c>
      <c r="BK13" s="173">
        <v>790397</v>
      </c>
      <c r="BL13" s="2">
        <f t="shared" ref="BL13:BL18" si="131">MIN(BJ13,BK13)</f>
        <v>757017</v>
      </c>
      <c r="BM13" s="3">
        <f t="shared" si="120"/>
        <v>0.3</v>
      </c>
      <c r="BN13" s="1">
        <f t="shared" si="99"/>
        <v>0</v>
      </c>
      <c r="BO13" s="4" t="b">
        <f t="shared" si="100"/>
        <v>1</v>
      </c>
      <c r="BP13" s="5">
        <f t="shared" si="101"/>
        <v>1317.9079999999999</v>
      </c>
      <c r="BQ13" s="6">
        <f t="shared" si="102"/>
        <v>0.65250699999999995</v>
      </c>
      <c r="BR13" s="4">
        <f t="shared" si="103"/>
        <v>154.30000000000001</v>
      </c>
      <c r="BS13" s="4" t="b">
        <f t="shared" si="104"/>
        <v>0</v>
      </c>
      <c r="BT13" s="4">
        <f t="shared" si="105"/>
        <v>0</v>
      </c>
      <c r="BU13" s="6">
        <f t="shared" si="106"/>
        <v>0</v>
      </c>
      <c r="BV13" s="1">
        <f t="shared" si="107"/>
        <v>0</v>
      </c>
      <c r="BW13" s="1">
        <f t="shared" si="108"/>
        <v>0</v>
      </c>
      <c r="BX13" s="116">
        <v>491</v>
      </c>
      <c r="BY13" s="7">
        <f t="shared" si="121"/>
        <v>0.3</v>
      </c>
      <c r="BZ13" s="7">
        <f>IF(ROUND((Weightings!$P$5*BY13^Weightings!$P$6*Weightings!$P$8 ),2)&lt;Weightings!$P$7,Weightings!$P$7,ROUND((Weightings!$P$5*BY13^Weightings!$P$6*Weightings!$P$8 ),2))</f>
        <v>1318.99</v>
      </c>
      <c r="CA13" s="8">
        <f>ROUND(BZ13/Weightings!$M$5,4)</f>
        <v>0.34370000000000001</v>
      </c>
      <c r="CB13" s="1">
        <f t="shared" si="122"/>
        <v>50.9</v>
      </c>
      <c r="CC13" s="173">
        <v>0</v>
      </c>
      <c r="CD13" s="173">
        <v>0</v>
      </c>
      <c r="CE13" s="173">
        <v>0</v>
      </c>
      <c r="CF13" s="177">
        <v>0</v>
      </c>
      <c r="CG13" s="2">
        <f>AS13*Weightings!$M$5*CF13</f>
        <v>0</v>
      </c>
      <c r="CH13" s="2">
        <f t="shared" ref="CH13:CH18" si="132">IF(CE13&gt;CG13,CG13,CE13)</f>
        <v>0</v>
      </c>
      <c r="CI13" s="117">
        <f t="shared" si="111"/>
        <v>0.39700000000000002</v>
      </c>
      <c r="CJ13" s="4">
        <f t="shared" si="112"/>
        <v>0.5</v>
      </c>
      <c r="CK13" s="1">
        <f t="shared" si="124"/>
        <v>0</v>
      </c>
      <c r="CL13" s="1">
        <f t="shared" si="125"/>
        <v>0</v>
      </c>
      <c r="CM13" s="1">
        <f t="shared" si="126"/>
        <v>3.1</v>
      </c>
      <c r="CN13" s="1">
        <f>IF(ISNA(VLOOKUP($CZ13,'Audit Values'!$A$2:$AE$439,2,FALSE)),'Preliminary SO66'!T10,VLOOKUP($CZ13,'Audit Values'!$A$2:$AE$439,20,FALSE))</f>
        <v>0</v>
      </c>
      <c r="CO13" s="1">
        <f t="shared" si="127"/>
        <v>0</v>
      </c>
      <c r="CP13" s="183">
        <v>0</v>
      </c>
      <c r="CQ13" s="1">
        <f t="shared" si="128"/>
        <v>0</v>
      </c>
      <c r="CR13" s="2">
        <f>IF(ISNA(VLOOKUP($CZ13,'Audit Values'!$A$2:$AE$439,2,FALSE)),'Preliminary SO66'!V10,VLOOKUP($CZ13,'Audit Values'!$A$2:$AE$439,22,FALSE))</f>
        <v>0</v>
      </c>
      <c r="CS13" s="1">
        <f t="shared" si="129"/>
        <v>0</v>
      </c>
      <c r="CT13" s="2">
        <f>IF(ISNA(VLOOKUP($CZ13,'Audit Values'!$A$2:$AE$439,2,FALSE)),'Preliminary SO66'!W10,VLOOKUP($CZ13,'Audit Values'!$A$2:$AE$439,23,FALSE))</f>
        <v>0</v>
      </c>
      <c r="CU13" s="1">
        <f t="shared" si="113"/>
        <v>0</v>
      </c>
      <c r="CV13" s="1">
        <f t="shared" si="114"/>
        <v>0</v>
      </c>
      <c r="CW13" s="176">
        <v>0</v>
      </c>
      <c r="CX13" s="2">
        <f>IF(CW13&gt;0,Weightings!$M$11*AR13,0)</f>
        <v>0</v>
      </c>
      <c r="CY13" s="2">
        <f t="shared" si="130"/>
        <v>0</v>
      </c>
      <c r="CZ13" s="108" t="s">
        <v>305</v>
      </c>
    </row>
    <row r="14" spans="1:104">
      <c r="A14" s="82">
        <v>111</v>
      </c>
      <c r="B14" s="4" t="s">
        <v>94</v>
      </c>
      <c r="C14" s="4" t="s">
        <v>641</v>
      </c>
      <c r="D14" s="1">
        <v>340</v>
      </c>
      <c r="E14" s="1">
        <v>0</v>
      </c>
      <c r="F14" s="1">
        <f t="shared" si="115"/>
        <v>340</v>
      </c>
      <c r="G14" s="1">
        <v>307.5</v>
      </c>
      <c r="H14" s="1">
        <v>0</v>
      </c>
      <c r="I14" s="1">
        <f t="shared" si="116"/>
        <v>307.5</v>
      </c>
      <c r="J14" s="1">
        <f t="shared" si="79"/>
        <v>318</v>
      </c>
      <c r="K14" s="1">
        <f>IF(ISNA(VLOOKUP($CZ14,'Audit Values'!$A$2:$AE$439,2,FALSE)),'Preliminary SO66'!B11,VLOOKUP($CZ14,'Audit Values'!$A$2:$AE$439,31,FALSE))</f>
        <v>318</v>
      </c>
      <c r="L14" s="1">
        <f t="shared" si="80"/>
        <v>321.8</v>
      </c>
      <c r="M14" s="1">
        <f>IF(ISNA(VLOOKUP($CZ14,'Audit Values'!$A$2:$AE$439,2,FALSE)),'Preliminary SO66'!Z11,VLOOKUP($CZ14,'Audit Values'!$A$2:$AE$439,26,FALSE))</f>
        <v>0</v>
      </c>
      <c r="N14" s="1">
        <f t="shared" si="81"/>
        <v>321.8</v>
      </c>
      <c r="O14" s="1">
        <f>IF(ISNA(VLOOKUP($CZ14,'Audit Values'!$A$2:$AE$439,2,FALSE)),'Preliminary SO66'!C11,IF(VLOOKUP($CZ14,'Audit Values'!$A$2:$AE$439,28,FALSE)="",VLOOKUP($CZ14,'Audit Values'!$A$2:$AE$439,3,FALSE),VLOOKUP($CZ14,'Audit Values'!$A$2:$AE$439,28,FALSE)))</f>
        <v>4.5</v>
      </c>
      <c r="P14" s="109">
        <f t="shared" si="82"/>
        <v>322.5</v>
      </c>
      <c r="Q14" s="110">
        <f t="shared" si="83"/>
        <v>322.5</v>
      </c>
      <c r="R14" s="111">
        <f t="shared" si="84"/>
        <v>322.5</v>
      </c>
      <c r="S14" s="1">
        <f t="shared" si="85"/>
        <v>326.3</v>
      </c>
      <c r="T14" s="1">
        <v>0</v>
      </c>
      <c r="U14" s="1">
        <f t="shared" si="87"/>
        <v>155.1</v>
      </c>
      <c r="V14" s="1">
        <f>MAX(BN14,BR14,BV14)</f>
        <v>155.1</v>
      </c>
      <c r="W14" s="1">
        <f>BW14</f>
        <v>0</v>
      </c>
      <c r="X14" s="1">
        <f>IF(ISNA(VLOOKUP($CZ14,'Audit Values'!$A$2:$AE$439,2,FALSE)),'Preliminary SO66'!D11,VLOOKUP($CZ14,'Audit Values'!$A$2:$AE$439,4,FALSE))</f>
        <v>66.7</v>
      </c>
      <c r="Y14" s="1">
        <f>ROUND((X14/6)*Weightings!$M$6,1)</f>
        <v>5.6</v>
      </c>
      <c r="Z14" s="1">
        <f>IF(ISNA(VLOOKUP($CZ14,'Audit Values'!$A$2:$AE$439,2,FALSE)),'Preliminary SO66'!F11,VLOOKUP($CZ14,'Audit Values'!$A$2:$AE$439,6,FALSE))</f>
        <v>0</v>
      </c>
      <c r="AA14" s="1">
        <f>ROUND((Z14/6)*Weightings!$M$7,1)</f>
        <v>0</v>
      </c>
      <c r="AB14" s="2">
        <f>IF(ISNA(VLOOKUP($CZ14,'Audit Values'!$A$2:$AE$439,2,FALSE)),'Preliminary SO66'!H11,VLOOKUP($CZ14,'Audit Values'!$A$2:$AE$439,8,FALSE))</f>
        <v>125</v>
      </c>
      <c r="AC14" s="1">
        <f>ROUND(AB14*Weightings!$M$8,1)</f>
        <v>57</v>
      </c>
      <c r="AD14" s="1">
        <f t="shared" si="117"/>
        <v>2.9</v>
      </c>
      <c r="AE14" s="185">
        <v>24</v>
      </c>
      <c r="AF14" s="1">
        <f>AE14*Weightings!$M$9</f>
        <v>1.1000000000000001</v>
      </c>
      <c r="AG14" s="1">
        <f>IF(ISNA(VLOOKUP($CZ14,'Audit Values'!$A$2:$AE$439,2,FALSE)),'Preliminary SO66'!L11,VLOOKUP($CZ14,'Audit Values'!$A$2:$AE$439,12,FALSE))</f>
        <v>0</v>
      </c>
      <c r="AH14" s="1">
        <f>ROUND(AG14*Weightings!$M$10,1)</f>
        <v>0</v>
      </c>
      <c r="AI14" s="1">
        <f>IF(ISNA(VLOOKUP($CZ14,'Audit Values'!$A$2:$AE$439,2,FALSE)),'Preliminary SO66'!O11,VLOOKUP($CZ14,'Audit Values'!$A$2:$AE$439,15,FALSE))</f>
        <v>248</v>
      </c>
      <c r="AJ14" s="1">
        <f t="shared" si="90"/>
        <v>63.6</v>
      </c>
      <c r="AK14" s="1">
        <f>CC14/Weightings!$M$5</f>
        <v>0</v>
      </c>
      <c r="AL14" s="1">
        <f>CD14/Weightings!$M$5</f>
        <v>0</v>
      </c>
      <c r="AM14" s="1">
        <f>CH14/Weightings!$M$5</f>
        <v>0</v>
      </c>
      <c r="AN14" s="1">
        <f t="shared" si="118"/>
        <v>0</v>
      </c>
      <c r="AO14" s="1">
        <f>IF(ISNA(VLOOKUP($CZ14,'Audit Values'!$A$2:$AE$439,2,FALSE)),'Preliminary SO66'!X11,VLOOKUP($CZ14,'Audit Values'!$A$2:$AE$439,24,FALSE))</f>
        <v>0</v>
      </c>
      <c r="AP14" s="188">
        <v>350108</v>
      </c>
      <c r="AQ14" s="113">
        <f>AP14/Weightings!$M$5</f>
        <v>91.2</v>
      </c>
      <c r="AR14" s="113">
        <f t="shared" si="91"/>
        <v>611.6</v>
      </c>
      <c r="AS14" s="1">
        <f t="shared" si="92"/>
        <v>702.8</v>
      </c>
      <c r="AT14" s="1">
        <f t="shared" si="93"/>
        <v>702.8</v>
      </c>
      <c r="AU14" s="2">
        <f t="shared" si="119"/>
        <v>0</v>
      </c>
      <c r="AV14" s="82">
        <f>IF(ISNA(VLOOKUP($CZ14,'Audit Values'!$A$2:$AC$360,2,FALSE)),"",IF(AND(Weightings!H14&gt;0,VLOOKUP($CZ14,'Audit Values'!$A$2:$AC$360,29,FALSE)&lt;Weightings!H14),Weightings!H14,VLOOKUP($CZ14,'Audit Values'!$A$2:$AC$360,29,FALSE)))</f>
        <v>18</v>
      </c>
      <c r="AW14" s="82" t="str">
        <f>IF(ISNA(VLOOKUP($CZ14,'Audit Values'!$A$2:$AD$360,2,FALSE)),"",VLOOKUP($CZ14,'Audit Values'!$A$2:$AD$360,30,FALSE))</f>
        <v>A</v>
      </c>
      <c r="AX14" s="82" t="str">
        <f>IF(Weightings!G14="","",IF(Weightings!I14="Pending","PX","R"))</f>
        <v/>
      </c>
      <c r="AY14" s="114">
        <f>AR14*Weightings!$M$5+AU14</f>
        <v>2347321</v>
      </c>
      <c r="AZ14" s="2">
        <f>AT14*Weightings!$M$5+AU14</f>
        <v>2697346</v>
      </c>
      <c r="BA14" s="2">
        <f>IF(Weightings!G14&gt;0,Weightings!G14,'Preliminary SO66'!AB11)</f>
        <v>3017819</v>
      </c>
      <c r="BB14" s="2">
        <f t="shared" si="94"/>
        <v>2697346</v>
      </c>
      <c r="BC14" s="124"/>
      <c r="BD14" s="124">
        <f>Weightings!E14</f>
        <v>0</v>
      </c>
      <c r="BE14" s="124">
        <f>Weightings!F14</f>
        <v>0</v>
      </c>
      <c r="BF14" s="2">
        <f t="shared" si="95"/>
        <v>0</v>
      </c>
      <c r="BG14" s="2">
        <f t="shared" si="96"/>
        <v>2697346</v>
      </c>
      <c r="BH14" s="2">
        <f>MAX(ROUND(((AR14-AO14)*4433)+AP14,0),ROUND(((AR14-AO14)*4433)+Weightings!B14,0))</f>
        <v>3266444</v>
      </c>
      <c r="BI14" s="174">
        <v>0.3</v>
      </c>
      <c r="BJ14" s="2">
        <f t="shared" si="97"/>
        <v>979933</v>
      </c>
      <c r="BK14" s="173">
        <v>1000000</v>
      </c>
      <c r="BL14" s="2">
        <f t="shared" si="131"/>
        <v>979933</v>
      </c>
      <c r="BM14" s="3">
        <f t="shared" si="120"/>
        <v>0.3</v>
      </c>
      <c r="BN14" s="1">
        <f t="shared" si="99"/>
        <v>0</v>
      </c>
      <c r="BO14" s="4" t="b">
        <f t="shared" si="100"/>
        <v>0</v>
      </c>
      <c r="BP14" s="5">
        <f t="shared" si="101"/>
        <v>0</v>
      </c>
      <c r="BQ14" s="6">
        <f>IF(BO14=TRUE,ROUND(((7337-BP14)/3642.4)-1,6),0)</f>
        <v>0</v>
      </c>
      <c r="BR14" s="4">
        <f t="shared" si="103"/>
        <v>0</v>
      </c>
      <c r="BS14" s="4" t="b">
        <f t="shared" si="104"/>
        <v>1</v>
      </c>
      <c r="BT14" s="4">
        <f t="shared" si="105"/>
        <v>32.546300000000002</v>
      </c>
      <c r="BU14" s="6">
        <f>IF(BS14=TRUE,ROUND(((5406-BT14)/3642.4)-1,6),0)</f>
        <v>0.47525099999999998</v>
      </c>
      <c r="BV14" s="1">
        <f t="shared" si="107"/>
        <v>155.1</v>
      </c>
      <c r="BW14" s="1">
        <f t="shared" si="108"/>
        <v>0</v>
      </c>
      <c r="BX14" s="116">
        <v>229</v>
      </c>
      <c r="BY14" s="7">
        <f t="shared" si="121"/>
        <v>1.08</v>
      </c>
      <c r="BZ14" s="7">
        <f>IF(ROUND((Weightings!$P$5*BY14^Weightings!$P$6*Weightings!$P$8 ),2)&lt;Weightings!$P$7,Weightings!$P$7,ROUND((Weightings!$P$5*BY14^Weightings!$P$6*Weightings!$P$8 ),2))</f>
        <v>984.8</v>
      </c>
      <c r="CA14" s="8">
        <f>ROUND(BZ14/Weightings!$M$5,4)</f>
        <v>0.25659999999999999</v>
      </c>
      <c r="CB14" s="1">
        <f t="shared" si="122"/>
        <v>63.6</v>
      </c>
      <c r="CC14" s="173">
        <v>0</v>
      </c>
      <c r="CD14" s="173">
        <v>0</v>
      </c>
      <c r="CE14" s="173">
        <v>0</v>
      </c>
      <c r="CF14" s="177">
        <v>0</v>
      </c>
      <c r="CG14" s="2">
        <f>AS14*Weightings!$M$5*CF14</f>
        <v>0</v>
      </c>
      <c r="CH14" s="2">
        <f t="shared" si="132"/>
        <v>0</v>
      </c>
      <c r="CI14" s="117">
        <f t="shared" si="111"/>
        <v>0.38300000000000001</v>
      </c>
      <c r="CJ14" s="4">
        <f t="shared" si="112"/>
        <v>1.4</v>
      </c>
      <c r="CK14" s="1">
        <f t="shared" si="124"/>
        <v>0</v>
      </c>
      <c r="CL14" s="1">
        <f t="shared" si="125"/>
        <v>0</v>
      </c>
      <c r="CM14" s="1">
        <f t="shared" si="126"/>
        <v>2.9</v>
      </c>
      <c r="CN14" s="1">
        <f>IF(ISNA(VLOOKUP($CZ14,'Audit Values'!$A$2:$AE$439,2,FALSE)),'Preliminary SO66'!T11,VLOOKUP($CZ14,'Audit Values'!$A$2:$AE$439,20,FALSE))</f>
        <v>0</v>
      </c>
      <c r="CO14" s="1">
        <f>CN14*1.05</f>
        <v>0</v>
      </c>
      <c r="CP14" s="183">
        <v>0</v>
      </c>
      <c r="CQ14" s="1">
        <f>CP14*0.25</f>
        <v>0</v>
      </c>
      <c r="CR14" s="2">
        <f>IF(ISNA(VLOOKUP($CZ14,'Audit Values'!$A$2:$AE$439,2,FALSE)),'Preliminary SO66'!V11,VLOOKUP($CZ14,'Audit Values'!$A$2:$AE$439,22,FALSE))</f>
        <v>0</v>
      </c>
      <c r="CS14" s="1">
        <f>CR14*0.08</f>
        <v>0</v>
      </c>
      <c r="CT14" s="2">
        <f>IF(ISNA(VLOOKUP($CZ14,'Audit Values'!$A$2:$AE$439,2,FALSE)),'Preliminary SO66'!W11,VLOOKUP($CZ14,'Audit Values'!$A$2:$AE$439,23,FALSE))</f>
        <v>0</v>
      </c>
      <c r="CU14" s="1">
        <f t="shared" si="113"/>
        <v>0</v>
      </c>
      <c r="CV14" s="1">
        <f t="shared" si="114"/>
        <v>0</v>
      </c>
      <c r="CW14" s="176">
        <v>0</v>
      </c>
      <c r="CX14" s="2">
        <f>IF(CW14&gt;0,Weightings!$M$11*AR14,0)</f>
        <v>0</v>
      </c>
      <c r="CY14" s="2">
        <f t="shared" si="130"/>
        <v>0</v>
      </c>
      <c r="CZ14" s="108" t="s">
        <v>306</v>
      </c>
    </row>
    <row r="15" spans="1:104">
      <c r="A15" s="82">
        <v>112</v>
      </c>
      <c r="B15" s="4" t="s">
        <v>56</v>
      </c>
      <c r="C15" s="4" t="s">
        <v>642</v>
      </c>
      <c r="D15" s="1">
        <v>479</v>
      </c>
      <c r="E15" s="1">
        <v>0</v>
      </c>
      <c r="F15" s="1">
        <f t="shared" si="115"/>
        <v>479</v>
      </c>
      <c r="G15" s="1">
        <v>454.5</v>
      </c>
      <c r="H15" s="1">
        <v>0</v>
      </c>
      <c r="I15" s="1">
        <f t="shared" si="116"/>
        <v>454.5</v>
      </c>
      <c r="J15" s="1">
        <f t="shared" si="79"/>
        <v>509.7</v>
      </c>
      <c r="K15" s="1">
        <f>IF(ISNA(VLOOKUP($CZ15,'Audit Values'!$A$2:$AE$439,2,FALSE)),'Preliminary SO66'!B12,VLOOKUP($CZ15,'Audit Values'!$A$2:$AE$439,31,FALSE))</f>
        <v>450.9</v>
      </c>
      <c r="L15" s="1">
        <f t="shared" si="80"/>
        <v>461.5</v>
      </c>
      <c r="M15" s="1">
        <f>IF(ISNA(VLOOKUP($CZ15,'Audit Values'!$A$2:$AE$439,2,FALSE)),'Preliminary SO66'!Z12,VLOOKUP($CZ15,'Audit Values'!$A$2:$AE$439,26,FALSE))</f>
        <v>0</v>
      </c>
      <c r="N15" s="1">
        <f t="shared" si="81"/>
        <v>461.5</v>
      </c>
      <c r="O15" s="1">
        <f>IF(ISNA(VLOOKUP($CZ15,'Audit Values'!$A$2:$AE$439,2,FALSE)),'Preliminary SO66'!C12,IF(VLOOKUP($CZ15,'Audit Values'!$A$2:$AE$439,28,FALSE)="",VLOOKUP($CZ15,'Audit Values'!$A$2:$AE$439,3,FALSE),VLOOKUP($CZ15,'Audit Values'!$A$2:$AE$439,28,FALSE)))</f>
        <v>6.5</v>
      </c>
      <c r="P15" s="109">
        <f t="shared" si="82"/>
        <v>457.4</v>
      </c>
      <c r="Q15" s="110">
        <f t="shared" si="83"/>
        <v>516.20000000000005</v>
      </c>
      <c r="R15" s="111">
        <f t="shared" si="84"/>
        <v>516.20000000000005</v>
      </c>
      <c r="S15" s="1">
        <f t="shared" si="85"/>
        <v>468</v>
      </c>
      <c r="T15" s="1">
        <f t="shared" ref="T15:T78" si="133">CN15</f>
        <v>58.8</v>
      </c>
      <c r="U15" s="1">
        <f t="shared" si="87"/>
        <v>199.9</v>
      </c>
      <c r="V15" s="1">
        <f>MAX(BN15,BR15,BV15)</f>
        <v>199.9</v>
      </c>
      <c r="W15" s="1">
        <f>BW15</f>
        <v>0</v>
      </c>
      <c r="X15" s="1">
        <f>IF(ISNA(VLOOKUP($CZ15,'Audit Values'!$A$2:$AE$439,2,FALSE)),'Preliminary SO66'!D12,VLOOKUP($CZ15,'Audit Values'!$A$2:$AE$439,4,FALSE))</f>
        <v>178.6</v>
      </c>
      <c r="Y15" s="1">
        <f>ROUND((X15/6)*Weightings!$M$6,1)</f>
        <v>14.9</v>
      </c>
      <c r="Z15" s="1">
        <f>IF(ISNA(VLOOKUP($CZ15,'Audit Values'!$A$2:$AE$439,2,FALSE)),'Preliminary SO66'!F12,VLOOKUP($CZ15,'Audit Values'!$A$2:$AE$439,6,FALSE))</f>
        <v>0</v>
      </c>
      <c r="AA15" s="1">
        <f>ROUND((Z15/6)*Weightings!$M$7,1)</f>
        <v>0</v>
      </c>
      <c r="AB15" s="2">
        <f>IF(ISNA(VLOOKUP($CZ15,'Audit Values'!$A$2:$AE$439,2,FALSE)),'Preliminary SO66'!H12,VLOOKUP($CZ15,'Audit Values'!$A$2:$AE$439,8,FALSE))</f>
        <v>163</v>
      </c>
      <c r="AC15" s="1">
        <f>ROUND(AB15*Weightings!$M$8,1)</f>
        <v>74.3</v>
      </c>
      <c r="AD15" s="1">
        <f>MAX(CK15,CL15,CM15)</f>
        <v>0</v>
      </c>
      <c r="AE15" s="185">
        <v>28</v>
      </c>
      <c r="AF15" s="1">
        <f>AE15*Weightings!$M$9</f>
        <v>1.3</v>
      </c>
      <c r="AG15" s="1">
        <f>IF(ISNA(VLOOKUP($CZ15,'Audit Values'!$A$2:$AE$439,2,FALSE)),'Preliminary SO66'!L12,VLOOKUP($CZ15,'Audit Values'!$A$2:$AE$439,12,FALSE))</f>
        <v>0</v>
      </c>
      <c r="AH15" s="1">
        <f>ROUND(AG15*Weightings!$M$10,1)</f>
        <v>0</v>
      </c>
      <c r="AI15" s="1">
        <f>IF(ISNA(VLOOKUP($CZ15,'Audit Values'!$A$2:$AE$439,2,FALSE)),'Preliminary SO66'!O12,VLOOKUP($CZ15,'Audit Values'!$A$2:$AE$439,15,FALSE))</f>
        <v>226</v>
      </c>
      <c r="AJ15" s="1">
        <f t="shared" si="90"/>
        <v>73.2</v>
      </c>
      <c r="AK15" s="1">
        <f>CC15/Weightings!$M$5</f>
        <v>0</v>
      </c>
      <c r="AL15" s="1">
        <f>CD15/Weightings!$M$5</f>
        <v>0</v>
      </c>
      <c r="AM15" s="1">
        <f>CH15/Weightings!$M$5</f>
        <v>0</v>
      </c>
      <c r="AN15" s="1">
        <f>CV15</f>
        <v>61.7</v>
      </c>
      <c r="AO15" s="1">
        <f>IF(ISNA(VLOOKUP($CZ15,'Audit Values'!$A$2:$AE$439,2,FALSE)),'Preliminary SO66'!X12,VLOOKUP($CZ15,'Audit Values'!$A$2:$AE$439,24,FALSE))</f>
        <v>0</v>
      </c>
      <c r="AP15" s="188">
        <v>437692</v>
      </c>
      <c r="AQ15" s="113">
        <f>AP15/Weightings!$M$5</f>
        <v>114</v>
      </c>
      <c r="AR15" s="113">
        <f t="shared" si="91"/>
        <v>893.3</v>
      </c>
      <c r="AS15" s="1">
        <f t="shared" si="92"/>
        <v>1007.3</v>
      </c>
      <c r="AT15" s="1">
        <f t="shared" si="93"/>
        <v>1007.3</v>
      </c>
      <c r="AU15" s="2">
        <f t="shared" si="119"/>
        <v>0</v>
      </c>
      <c r="AV15" s="82">
        <f>IF(ISNA(VLOOKUP($CZ15,'Audit Values'!$A$2:$AC$360,2,FALSE)),"",IF(AND(Weightings!H15&gt;0,VLOOKUP($CZ15,'Audit Values'!$A$2:$AC$360,29,FALSE)&lt;Weightings!H15),Weightings!H15,VLOOKUP($CZ15,'Audit Values'!$A$2:$AC$360,29,FALSE)))</f>
        <v>26</v>
      </c>
      <c r="AW15" s="82" t="str">
        <f>IF(ISNA(VLOOKUP($CZ15,'Audit Values'!$A$2:$AD$360,2,FALSE)),"",VLOOKUP($CZ15,'Audit Values'!$A$2:$AD$360,30,FALSE))</f>
        <v>A</v>
      </c>
      <c r="AX15" s="82" t="str">
        <f>IF(Weightings!G15="","",IF(Weightings!I15="Pending","PX","R"))</f>
        <v/>
      </c>
      <c r="AY15" s="141">
        <f>Exceptions!E50+AU15</f>
        <v>4998037</v>
      </c>
      <c r="AZ15" s="138">
        <f>Exceptions!E52+AU15</f>
        <v>5435569</v>
      </c>
      <c r="BA15" s="2">
        <f>IF(Weightings!G15&gt;0,Weightings!G15,'Preliminary SO66'!AB12)</f>
        <v>5629868</v>
      </c>
      <c r="BB15" s="2">
        <f t="shared" si="94"/>
        <v>5435569</v>
      </c>
      <c r="BC15" s="124"/>
      <c r="BD15" s="124">
        <f>Weightings!E15</f>
        <v>-6016</v>
      </c>
      <c r="BE15" s="124">
        <f>Weightings!F15</f>
        <v>0</v>
      </c>
      <c r="BF15" s="2">
        <f t="shared" si="95"/>
        <v>-6016</v>
      </c>
      <c r="BG15" s="2">
        <f t="shared" si="96"/>
        <v>5429553</v>
      </c>
      <c r="BH15" s="2">
        <f>MAX(ROUND(((AR15-AO15)*4433)+AP15,0),ROUND(((AR15-AO15)*4433)+Weightings!B15,0))</f>
        <v>4645975</v>
      </c>
      <c r="BI15" s="174">
        <v>0.3</v>
      </c>
      <c r="BJ15" s="2">
        <f t="shared" si="97"/>
        <v>1393793</v>
      </c>
      <c r="BK15" s="173">
        <v>1410948</v>
      </c>
      <c r="BL15" s="2">
        <f t="shared" si="131"/>
        <v>1393793</v>
      </c>
      <c r="BM15" s="3">
        <f t="shared" si="120"/>
        <v>0.3</v>
      </c>
      <c r="BN15" s="1">
        <f t="shared" si="99"/>
        <v>0</v>
      </c>
      <c r="BO15" s="4" t="b">
        <f t="shared" si="100"/>
        <v>0</v>
      </c>
      <c r="BP15" s="5">
        <f t="shared" si="101"/>
        <v>0</v>
      </c>
      <c r="BQ15" s="6">
        <f>IF(BO15=TRUE,ROUND(((7337-BP15)/3642.4)-1,6),0)</f>
        <v>0</v>
      </c>
      <c r="BR15" s="4">
        <f t="shared" si="103"/>
        <v>0</v>
      </c>
      <c r="BS15" s="4" t="b">
        <f t="shared" si="104"/>
        <v>1</v>
      </c>
      <c r="BT15" s="4">
        <f t="shared" si="105"/>
        <v>207.9</v>
      </c>
      <c r="BU15" s="6">
        <f>IF(BS15=TRUE,ROUND(((5406-BT15)/3642.4)-1,6),0)</f>
        <v>0.42710799999999999</v>
      </c>
      <c r="BV15" s="1">
        <f t="shared" si="107"/>
        <v>199.9</v>
      </c>
      <c r="BW15" s="1">
        <f t="shared" si="108"/>
        <v>0</v>
      </c>
      <c r="BX15" s="116">
        <v>582.79999999999995</v>
      </c>
      <c r="BY15" s="7">
        <f t="shared" si="121"/>
        <v>0.39</v>
      </c>
      <c r="BZ15" s="7">
        <f>IF(ROUND((Weightings!$P$5*BY15^Weightings!$P$6*Weightings!$P$8 ),2)&lt;Weightings!$P$7,Weightings!$P$7,ROUND((Weightings!$P$5*BY15^Weightings!$P$6*Weightings!$P$8 ),2))</f>
        <v>1242.3699999999999</v>
      </c>
      <c r="CA15" s="8">
        <f>ROUND(BZ15/Weightings!$M$5,4)</f>
        <v>0.32369999999999999</v>
      </c>
      <c r="CB15" s="1">
        <f t="shared" si="122"/>
        <v>73.2</v>
      </c>
      <c r="CC15" s="173">
        <v>0</v>
      </c>
      <c r="CD15" s="173">
        <v>0</v>
      </c>
      <c r="CE15" s="173">
        <v>0</v>
      </c>
      <c r="CF15" s="177">
        <v>0</v>
      </c>
      <c r="CG15" s="2">
        <f>AS15*Weightings!$M$5*CF15</f>
        <v>0</v>
      </c>
      <c r="CH15" s="2">
        <f t="shared" si="132"/>
        <v>0</v>
      </c>
      <c r="CI15" s="117">
        <f t="shared" si="111"/>
        <v>0.34799999999999998</v>
      </c>
      <c r="CJ15" s="4">
        <f t="shared" si="112"/>
        <v>0.8</v>
      </c>
      <c r="CK15" s="1">
        <f t="shared" si="124"/>
        <v>0</v>
      </c>
      <c r="CL15" s="1">
        <f t="shared" si="125"/>
        <v>0</v>
      </c>
      <c r="CM15" s="1">
        <f t="shared" si="126"/>
        <v>0</v>
      </c>
      <c r="CN15" s="1">
        <f>IF(ISNA(VLOOKUP($CZ15,'Audit Values'!$A$2:$AE$439,2,FALSE)),'Preliminary SO66'!T12,VLOOKUP($CZ15,'Audit Values'!$A$2:$AE$439,20,FALSE))</f>
        <v>58.8</v>
      </c>
      <c r="CO15" s="1">
        <f>CN15*1.05</f>
        <v>61.7</v>
      </c>
      <c r="CP15" s="183">
        <v>0</v>
      </c>
      <c r="CQ15" s="1">
        <f>CP15*0.25</f>
        <v>0</v>
      </c>
      <c r="CR15" s="2">
        <f>IF(ISNA(VLOOKUP($CZ15,'Audit Values'!$A$2:$AE$439,2,FALSE)),'Preliminary SO66'!V12,VLOOKUP($CZ15,'Audit Values'!$A$2:$AE$439,22,FALSE))</f>
        <v>0</v>
      </c>
      <c r="CS15" s="1">
        <f>CR15*0.08</f>
        <v>0</v>
      </c>
      <c r="CT15" s="2">
        <f>IF(ISNA(VLOOKUP($CZ15,'Audit Values'!$A$2:$AE$439,2,FALSE)),'Preliminary SO66'!W12,VLOOKUP($CZ15,'Audit Values'!$A$2:$AE$439,23,FALSE))</f>
        <v>0</v>
      </c>
      <c r="CU15" s="1">
        <f t="shared" si="113"/>
        <v>0</v>
      </c>
      <c r="CV15" s="1">
        <f t="shared" si="114"/>
        <v>61.7</v>
      </c>
      <c r="CW15" s="176">
        <v>0</v>
      </c>
      <c r="CX15" s="2">
        <f>IF(CW15&gt;0,Weightings!$M$11*AR15,0)</f>
        <v>0</v>
      </c>
      <c r="CY15" s="2">
        <f t="shared" si="130"/>
        <v>0</v>
      </c>
      <c r="CZ15" s="108" t="s">
        <v>307</v>
      </c>
    </row>
    <row r="16" spans="1:104">
      <c r="A16" s="82">
        <v>113</v>
      </c>
      <c r="B16" s="4" t="s">
        <v>102</v>
      </c>
      <c r="C16" s="4" t="s">
        <v>643</v>
      </c>
      <c r="D16" s="1">
        <v>1178.9000000000001</v>
      </c>
      <c r="E16" s="1">
        <v>0</v>
      </c>
      <c r="F16" s="1">
        <f t="shared" si="115"/>
        <v>1178.9000000000001</v>
      </c>
      <c r="G16" s="1">
        <v>1105.8</v>
      </c>
      <c r="H16" s="1">
        <v>0</v>
      </c>
      <c r="I16" s="1">
        <f t="shared" si="116"/>
        <v>1105.8</v>
      </c>
      <c r="J16" s="1">
        <f t="shared" si="79"/>
        <v>1071.7</v>
      </c>
      <c r="K16" s="1">
        <f>IF(ISNA(VLOOKUP($CZ16,'Audit Values'!$A$2:$AE$439,2,FALSE)),'Preliminary SO66'!B13,VLOOKUP($CZ16,'Audit Values'!$A$2:$AE$439,31,FALSE))</f>
        <v>1071.7</v>
      </c>
      <c r="L16" s="1">
        <f t="shared" si="80"/>
        <v>1118.8</v>
      </c>
      <c r="M16" s="1">
        <f>IF(ISNA(VLOOKUP($CZ16,'Audit Values'!$A$2:$AE$439,2,FALSE)),'Preliminary SO66'!Z13,VLOOKUP($CZ16,'Audit Values'!$A$2:$AE$439,26,FALSE))</f>
        <v>0</v>
      </c>
      <c r="N16" s="1">
        <f t="shared" si="81"/>
        <v>1118.8</v>
      </c>
      <c r="O16" s="1">
        <f>IF(ISNA(VLOOKUP($CZ16,'Audit Values'!$A$2:$AE$439,2,FALSE)),'Preliminary SO66'!C13,IF(VLOOKUP($CZ16,'Audit Values'!$A$2:$AE$439,28,FALSE)="",VLOOKUP($CZ16,'Audit Values'!$A$2:$AE$439,3,FALSE),VLOOKUP($CZ16,'Audit Values'!$A$2:$AE$439,28,FALSE)))</f>
        <v>6.5</v>
      </c>
      <c r="P16" s="109">
        <f t="shared" si="82"/>
        <v>1078.2</v>
      </c>
      <c r="Q16" s="110">
        <f t="shared" si="83"/>
        <v>1078.2</v>
      </c>
      <c r="R16" s="111">
        <f t="shared" si="84"/>
        <v>1078.2</v>
      </c>
      <c r="S16" s="1">
        <f t="shared" si="85"/>
        <v>1125.3</v>
      </c>
      <c r="T16" s="1">
        <f t="shared" si="133"/>
        <v>0</v>
      </c>
      <c r="U16" s="1">
        <f t="shared" si="87"/>
        <v>229.3</v>
      </c>
      <c r="V16" s="1">
        <f>MAX(BN16,BR16,BV16)</f>
        <v>229.3</v>
      </c>
      <c r="W16" s="1">
        <f>BW16</f>
        <v>0</v>
      </c>
      <c r="X16" s="1">
        <f>IF(ISNA(VLOOKUP($CZ16,'Audit Values'!$A$2:$AE$439,2,FALSE)),'Preliminary SO66'!D13,VLOOKUP($CZ16,'Audit Values'!$A$2:$AE$439,4,FALSE))</f>
        <v>288.7</v>
      </c>
      <c r="Y16" s="1">
        <f>ROUND((X16/6)*Weightings!$M$6,1)</f>
        <v>24.1</v>
      </c>
      <c r="Z16" s="1">
        <f>IF(ISNA(VLOOKUP($CZ16,'Audit Values'!$A$2:$AE$439,2,FALSE)),'Preliminary SO66'!F13,VLOOKUP($CZ16,'Audit Values'!$A$2:$AE$439,6,FALSE))</f>
        <v>3.6</v>
      </c>
      <c r="AA16" s="1">
        <f>ROUND((Z16/6)*Weightings!$M$7,1)</f>
        <v>0.2</v>
      </c>
      <c r="AB16" s="2">
        <f>IF(ISNA(VLOOKUP($CZ16,'Audit Values'!$A$2:$AE$439,2,FALSE)),'Preliminary SO66'!H13,VLOOKUP($CZ16,'Audit Values'!$A$2:$AE$439,8,FALSE))</f>
        <v>267</v>
      </c>
      <c r="AC16" s="1">
        <f>ROUND(AB16*Weightings!$M$8,1)</f>
        <v>121.8</v>
      </c>
      <c r="AD16" s="1">
        <f>MAX(CK16,CL16,CM16)</f>
        <v>0</v>
      </c>
      <c r="AE16" s="185">
        <v>54</v>
      </c>
      <c r="AF16" s="1">
        <f>AE16*Weightings!$M$9</f>
        <v>2.5</v>
      </c>
      <c r="AG16" s="1">
        <f>IF(ISNA(VLOOKUP($CZ16,'Audit Values'!$A$2:$AE$439,2,FALSE)),'Preliminary SO66'!L13,VLOOKUP($CZ16,'Audit Values'!$A$2:$AE$439,12,FALSE))</f>
        <v>0</v>
      </c>
      <c r="AH16" s="1">
        <f>ROUND(AG16*Weightings!$M$10,1)</f>
        <v>0</v>
      </c>
      <c r="AI16" s="1">
        <f>IF(ISNA(VLOOKUP($CZ16,'Audit Values'!$A$2:$AE$439,2,FALSE)),'Preliminary SO66'!O13,VLOOKUP($CZ16,'Audit Values'!$A$2:$AE$439,15,FALSE))</f>
        <v>429.4</v>
      </c>
      <c r="AJ16" s="1">
        <f t="shared" si="90"/>
        <v>118.3</v>
      </c>
      <c r="AK16" s="1">
        <f>CC16/Weightings!$M$5</f>
        <v>0</v>
      </c>
      <c r="AL16" s="1">
        <f>CD16/Weightings!$M$5</f>
        <v>0</v>
      </c>
      <c r="AM16" s="1">
        <f>CH16/Weightings!$M$5</f>
        <v>0</v>
      </c>
      <c r="AN16" s="1">
        <f>CV16</f>
        <v>0</v>
      </c>
      <c r="AO16" s="1">
        <f>IF(ISNA(VLOOKUP($CZ16,'Audit Values'!$A$2:$AE$439,2,FALSE)),'Preliminary SO66'!X13,VLOOKUP($CZ16,'Audit Values'!$A$2:$AE$439,24,FALSE))</f>
        <v>0</v>
      </c>
      <c r="AP16" s="188">
        <v>878219.99999999988</v>
      </c>
      <c r="AQ16" s="113">
        <f>AP16/Weightings!$M$5</f>
        <v>228.8</v>
      </c>
      <c r="AR16" s="113">
        <f t="shared" si="91"/>
        <v>1621.5</v>
      </c>
      <c r="AS16" s="1">
        <f t="shared" si="92"/>
        <v>1850.3</v>
      </c>
      <c r="AT16" s="1">
        <f t="shared" si="93"/>
        <v>1850.3</v>
      </c>
      <c r="AU16" s="2">
        <f t="shared" si="119"/>
        <v>0</v>
      </c>
      <c r="AV16" s="82">
        <f>IF(ISNA(VLOOKUP($CZ16,'Audit Values'!$A$2:$AC$360,2,FALSE)),"",IF(AND(Weightings!H16&gt;0,VLOOKUP($CZ16,'Audit Values'!$A$2:$AC$360,29,FALSE)&lt;Weightings!H16),Weightings!H16,VLOOKUP($CZ16,'Audit Values'!$A$2:$AC$360,29,FALSE)))</f>
        <v>6</v>
      </c>
      <c r="AW16" s="82" t="str">
        <f>IF(ISNA(VLOOKUP($CZ16,'Audit Values'!$A$2:$AD$360,2,FALSE)),"",VLOOKUP($CZ16,'Audit Values'!$A$2:$AD$360,30,FALSE))</f>
        <v>A</v>
      </c>
      <c r="AX16" s="82" t="str">
        <f>IF(Weightings!G16="","",IF(Weightings!I16="Pending","PX","R"))</f>
        <v/>
      </c>
      <c r="AY16" s="141">
        <f>Exceptions!H50+AU16</f>
        <v>7638511</v>
      </c>
      <c r="AZ16" s="138">
        <f>Exceptions!H52+AU16</f>
        <v>8516645</v>
      </c>
      <c r="BA16" s="2">
        <f>IF(Weightings!G16&gt;0,Weightings!G16,'Preliminary SO66'!AB13)</f>
        <v>8556177</v>
      </c>
      <c r="BB16" s="2">
        <f t="shared" si="94"/>
        <v>8516645</v>
      </c>
      <c r="BC16" s="124"/>
      <c r="BD16" s="124">
        <f>Weightings!E16</f>
        <v>0</v>
      </c>
      <c r="BE16" s="124">
        <f>Weightings!F16</f>
        <v>0</v>
      </c>
      <c r="BF16" s="2">
        <f t="shared" si="95"/>
        <v>0</v>
      </c>
      <c r="BG16" s="2">
        <f t="shared" si="96"/>
        <v>8516645</v>
      </c>
      <c r="BH16" s="2">
        <f>MAX(ROUND(((AR16-AO16)*4433)+AP16,0),ROUND(((AR16-AO16)*4433)+Weightings!B16,0))</f>
        <v>8288903</v>
      </c>
      <c r="BI16" s="174">
        <v>0.3</v>
      </c>
      <c r="BJ16" s="2">
        <f t="shared" si="97"/>
        <v>2486671</v>
      </c>
      <c r="BK16" s="173">
        <v>2509944</v>
      </c>
      <c r="BL16" s="2">
        <f t="shared" si="131"/>
        <v>2486671</v>
      </c>
      <c r="BM16" s="3">
        <f t="shared" si="120"/>
        <v>0.3</v>
      </c>
      <c r="BN16" s="1">
        <f t="shared" si="99"/>
        <v>0</v>
      </c>
      <c r="BO16" s="4" t="b">
        <f t="shared" si="100"/>
        <v>0</v>
      </c>
      <c r="BP16" s="5">
        <f t="shared" si="101"/>
        <v>0</v>
      </c>
      <c r="BQ16" s="6">
        <f>IF(BO16=TRUE,ROUND(((7337-BP16)/3642.4)-1,6),0)</f>
        <v>0</v>
      </c>
      <c r="BR16" s="4">
        <f t="shared" si="103"/>
        <v>0</v>
      </c>
      <c r="BS16" s="4" t="b">
        <f t="shared" si="104"/>
        <v>1</v>
      </c>
      <c r="BT16" s="4">
        <f t="shared" si="105"/>
        <v>1021.3088</v>
      </c>
      <c r="BU16" s="6">
        <f>IF(BS16=TRUE,ROUND(((5406-BT16)/3642.4)-1,6),0)</f>
        <v>0.203792</v>
      </c>
      <c r="BV16" s="1">
        <f t="shared" si="107"/>
        <v>229.3</v>
      </c>
      <c r="BW16" s="1">
        <f t="shared" si="108"/>
        <v>0</v>
      </c>
      <c r="BX16" s="116">
        <v>543</v>
      </c>
      <c r="BY16" s="7">
        <f t="shared" si="121"/>
        <v>0.79</v>
      </c>
      <c r="BZ16" s="7">
        <f>IF(ROUND((Weightings!$P$5*BY16^Weightings!$P$6*Weightings!$P$8 ),2)&lt;Weightings!$P$7,Weightings!$P$7,ROUND((Weightings!$P$5*BY16^Weightings!$P$6*Weightings!$P$8 ),2))</f>
        <v>1057.6099999999999</v>
      </c>
      <c r="CA16" s="8">
        <f>ROUND(BZ16/Weightings!$M$5,4)</f>
        <v>0.27560000000000001</v>
      </c>
      <c r="CB16" s="1">
        <f t="shared" si="122"/>
        <v>118.3</v>
      </c>
      <c r="CC16" s="173">
        <v>0</v>
      </c>
      <c r="CD16" s="173">
        <v>0</v>
      </c>
      <c r="CE16" s="173">
        <v>0</v>
      </c>
      <c r="CF16" s="177">
        <v>0</v>
      </c>
      <c r="CG16" s="2">
        <f>AS16*Weightings!$M$5*CF16</f>
        <v>0</v>
      </c>
      <c r="CH16" s="2">
        <f t="shared" si="132"/>
        <v>0</v>
      </c>
      <c r="CI16" s="117">
        <f t="shared" si="111"/>
        <v>0.23699999999999999</v>
      </c>
      <c r="CJ16" s="4">
        <f t="shared" si="112"/>
        <v>2.1</v>
      </c>
      <c r="CK16" s="1">
        <f t="shared" si="124"/>
        <v>0</v>
      </c>
      <c r="CL16" s="1">
        <f t="shared" si="125"/>
        <v>0</v>
      </c>
      <c r="CM16" s="1">
        <f t="shared" si="126"/>
        <v>0</v>
      </c>
      <c r="CN16" s="1">
        <f>IF(ISNA(VLOOKUP($CZ16,'Audit Values'!$A$2:$AE$439,2,FALSE)),'Preliminary SO66'!T13,VLOOKUP($CZ16,'Audit Values'!$A$2:$AE$439,20,FALSE))</f>
        <v>0</v>
      </c>
      <c r="CO16" s="1">
        <f>CN16*1.05</f>
        <v>0</v>
      </c>
      <c r="CP16" s="183">
        <v>0</v>
      </c>
      <c r="CQ16" s="1">
        <f>CP16*0.25</f>
        <v>0</v>
      </c>
      <c r="CR16" s="2">
        <f>IF(ISNA(VLOOKUP($CZ16,'Audit Values'!$A$2:$AE$439,2,FALSE)),'Preliminary SO66'!V13,VLOOKUP($CZ16,'Audit Values'!$A$2:$AE$439,22,FALSE))</f>
        <v>0</v>
      </c>
      <c r="CS16" s="1">
        <f>CR16*0.08</f>
        <v>0</v>
      </c>
      <c r="CT16" s="2">
        <f>IF(ISNA(VLOOKUP($CZ16,'Audit Values'!$A$2:$AE$439,2,FALSE)),'Preliminary SO66'!W13,VLOOKUP($CZ16,'Audit Values'!$A$2:$AE$439,23,FALSE))</f>
        <v>0</v>
      </c>
      <c r="CU16" s="1">
        <f t="shared" si="113"/>
        <v>0</v>
      </c>
      <c r="CV16" s="1">
        <f t="shared" si="114"/>
        <v>0</v>
      </c>
      <c r="CW16" s="176">
        <v>0</v>
      </c>
      <c r="CX16" s="2">
        <f>IF(CW16&gt;0,Weightings!$M$11*AR16,0)</f>
        <v>0</v>
      </c>
      <c r="CY16" s="2">
        <f t="shared" si="130"/>
        <v>0</v>
      </c>
      <c r="CZ16" s="108" t="s">
        <v>308</v>
      </c>
    </row>
    <row r="17" spans="1:104">
      <c r="A17" s="82">
        <v>114</v>
      </c>
      <c r="B17" s="4" t="s">
        <v>94</v>
      </c>
      <c r="C17" s="4" t="s">
        <v>644</v>
      </c>
      <c r="D17" s="1">
        <v>647.5</v>
      </c>
      <c r="E17" s="1">
        <v>0</v>
      </c>
      <c r="F17" s="1">
        <f t="shared" si="115"/>
        <v>647.5</v>
      </c>
      <c r="G17" s="1">
        <v>646.9</v>
      </c>
      <c r="H17" s="1">
        <v>0</v>
      </c>
      <c r="I17" s="1">
        <f t="shared" si="116"/>
        <v>646.9</v>
      </c>
      <c r="J17" s="1">
        <f t="shared" si="79"/>
        <v>640.5</v>
      </c>
      <c r="K17" s="1">
        <f>IF(ISNA(VLOOKUP($CZ17,'Audit Values'!$A$2:$AE$439,2,FALSE)),'Preliminary SO66'!B14,VLOOKUP($CZ17,'Audit Values'!$A$2:$AE$439,31,FALSE))</f>
        <v>640.5</v>
      </c>
      <c r="L17" s="1">
        <f t="shared" si="80"/>
        <v>646.9</v>
      </c>
      <c r="M17" s="1">
        <f>IF(ISNA(VLOOKUP($CZ17,'Audit Values'!$A$2:$AE$439,2,FALSE)),'Preliminary SO66'!Z14,VLOOKUP($CZ17,'Audit Values'!$A$2:$AE$439,26,FALSE))</f>
        <v>0</v>
      </c>
      <c r="N17" s="1">
        <f t="shared" si="81"/>
        <v>646.9</v>
      </c>
      <c r="O17" s="1">
        <f>IF(ISNA(VLOOKUP($CZ17,'Audit Values'!$A$2:$AE$439,2,FALSE)),'Preliminary SO66'!C14,IF(VLOOKUP($CZ17,'Audit Values'!$A$2:$AE$439,28,FALSE)="",VLOOKUP($CZ17,'Audit Values'!$A$2:$AE$439,3,FALSE),VLOOKUP($CZ17,'Audit Values'!$A$2:$AE$439,28,FALSE)))</f>
        <v>7</v>
      </c>
      <c r="P17" s="109">
        <f t="shared" si="82"/>
        <v>647.5</v>
      </c>
      <c r="Q17" s="110">
        <f t="shared" si="83"/>
        <v>647.5</v>
      </c>
      <c r="R17" s="111">
        <f t="shared" si="84"/>
        <v>647.5</v>
      </c>
      <c r="S17" s="1">
        <f t="shared" si="85"/>
        <v>653.9</v>
      </c>
      <c r="T17" s="1">
        <f t="shared" si="133"/>
        <v>0</v>
      </c>
      <c r="U17" s="1">
        <f t="shared" si="87"/>
        <v>238</v>
      </c>
      <c r="V17" s="1">
        <f>MAX(BN17,BR17,BV17)</f>
        <v>238</v>
      </c>
      <c r="W17" s="1">
        <f>BW17</f>
        <v>0</v>
      </c>
      <c r="X17" s="1">
        <f>IF(ISNA(VLOOKUP($CZ17,'Audit Values'!$A$2:$AE$439,2,FALSE)),'Preliminary SO66'!D14,VLOOKUP($CZ17,'Audit Values'!$A$2:$AE$439,4,FALSE))</f>
        <v>150.69999999999999</v>
      </c>
      <c r="Y17" s="1">
        <f>ROUND((X17/6)*Weightings!$M$6,1)</f>
        <v>12.6</v>
      </c>
      <c r="Z17" s="1">
        <f>IF(ISNA(VLOOKUP($CZ17,'Audit Values'!$A$2:$AE$439,2,FALSE)),'Preliminary SO66'!F14,VLOOKUP($CZ17,'Audit Values'!$A$2:$AE$439,6,FALSE))</f>
        <v>0</v>
      </c>
      <c r="AA17" s="1">
        <f>ROUND((Z17/6)*Weightings!$M$7,1)</f>
        <v>0</v>
      </c>
      <c r="AB17" s="2">
        <f>IF(ISNA(VLOOKUP($CZ17,'Audit Values'!$A$2:$AE$439,2,FALSE)),'Preliminary SO66'!H14,VLOOKUP($CZ17,'Audit Values'!$A$2:$AE$439,8,FALSE))</f>
        <v>307</v>
      </c>
      <c r="AC17" s="1">
        <f>ROUND(AB17*Weightings!$M$8,1)</f>
        <v>140</v>
      </c>
      <c r="AD17" s="1">
        <f>MAX(CK17,CL17,CM17)</f>
        <v>25.6</v>
      </c>
      <c r="AE17" s="185">
        <v>73</v>
      </c>
      <c r="AF17" s="1">
        <f>AE17*Weightings!$M$9</f>
        <v>3.4</v>
      </c>
      <c r="AG17" s="1">
        <f>IF(ISNA(VLOOKUP($CZ17,'Audit Values'!$A$2:$AE$439,2,FALSE)),'Preliminary SO66'!L14,VLOOKUP($CZ17,'Audit Values'!$A$2:$AE$439,12,FALSE))</f>
        <v>0</v>
      </c>
      <c r="AH17" s="1">
        <f>ROUND(AG17*Weightings!$M$10,1)</f>
        <v>0</v>
      </c>
      <c r="AI17" s="1">
        <f>IF(ISNA(VLOOKUP($CZ17,'Audit Values'!$A$2:$AE$439,2,FALSE)),'Preliminary SO66'!O14,VLOOKUP($CZ17,'Audit Values'!$A$2:$AE$439,15,FALSE))</f>
        <v>267</v>
      </c>
      <c r="AJ17" s="1">
        <f t="shared" si="90"/>
        <v>54.1</v>
      </c>
      <c r="AK17" s="1">
        <f>CC17/Weightings!$M$5</f>
        <v>0</v>
      </c>
      <c r="AL17" s="1">
        <f>CD17/Weightings!$M$5</f>
        <v>0</v>
      </c>
      <c r="AM17" s="1">
        <f>CH17/Weightings!$M$5</f>
        <v>0</v>
      </c>
      <c r="AN17" s="1">
        <f>CV17</f>
        <v>0</v>
      </c>
      <c r="AO17" s="1">
        <f>IF(ISNA(VLOOKUP($CZ17,'Audit Values'!$A$2:$AE$439,2,FALSE)),'Preliminary SO66'!X14,VLOOKUP($CZ17,'Audit Values'!$A$2:$AE$439,24,FALSE))</f>
        <v>0</v>
      </c>
      <c r="AP17" s="188">
        <v>664664</v>
      </c>
      <c r="AQ17" s="113">
        <f>AP17/Weightings!$M$5</f>
        <v>173.2</v>
      </c>
      <c r="AR17" s="113">
        <f t="shared" si="91"/>
        <v>1127.5999999999999</v>
      </c>
      <c r="AS17" s="1">
        <f t="shared" si="92"/>
        <v>1300.8</v>
      </c>
      <c r="AT17" s="1">
        <f t="shared" si="93"/>
        <v>1300.8</v>
      </c>
      <c r="AU17" s="2">
        <f t="shared" si="119"/>
        <v>0</v>
      </c>
      <c r="AV17" s="82">
        <f>IF(ISNA(VLOOKUP($CZ17,'Audit Values'!$A$2:$AC$360,2,FALSE)),"",IF(AND(Weightings!H17&gt;0,VLOOKUP($CZ17,'Audit Values'!$A$2:$AC$360,29,FALSE)&lt;Weightings!H17),Weightings!H17,VLOOKUP($CZ17,'Audit Values'!$A$2:$AC$360,29,FALSE)))</f>
        <v>18</v>
      </c>
      <c r="AW17" s="82" t="str">
        <f>IF(ISNA(VLOOKUP($CZ17,'Audit Values'!$A$2:$AD$360,2,FALSE)),"",VLOOKUP($CZ17,'Audit Values'!$A$2:$AD$360,30,FALSE))</f>
        <v>A</v>
      </c>
      <c r="AX17" s="82" t="str">
        <f>IF(Weightings!G17="","",IF(Weightings!I17="Pending","PX","R"))</f>
        <v/>
      </c>
      <c r="AY17" s="141">
        <f>Exceptions!B63+AU17</f>
        <v>4955854</v>
      </c>
      <c r="AZ17" s="138">
        <f>Exceptions!B65+AU17</f>
        <v>5620596</v>
      </c>
      <c r="BA17" s="2">
        <f>IF(Weightings!G17&gt;0,Weightings!G17,'Preliminary SO66'!AB14)</f>
        <v>5735736</v>
      </c>
      <c r="BB17" s="2">
        <f t="shared" si="94"/>
        <v>5620596</v>
      </c>
      <c r="BC17" s="124"/>
      <c r="BD17" s="124">
        <f>Weightings!E17</f>
        <v>0</v>
      </c>
      <c r="BE17" s="124">
        <f>Weightings!F17</f>
        <v>0</v>
      </c>
      <c r="BF17" s="2">
        <f t="shared" si="95"/>
        <v>0</v>
      </c>
      <c r="BG17" s="2">
        <f t="shared" si="96"/>
        <v>5620596</v>
      </c>
      <c r="BH17" s="2">
        <f>MAX(ROUND(((AR17-AO17)*4433)+AP17,0),ROUND(((AR17-AO17)*4433)+Weightings!B17,0))</f>
        <v>5663315</v>
      </c>
      <c r="BI17" s="174">
        <v>0.3</v>
      </c>
      <c r="BJ17" s="2">
        <f t="shared" si="97"/>
        <v>1698995</v>
      </c>
      <c r="BK17" s="173">
        <v>1232750</v>
      </c>
      <c r="BL17" s="2">
        <f t="shared" si="131"/>
        <v>1232750</v>
      </c>
      <c r="BM17" s="3">
        <f t="shared" si="120"/>
        <v>0.2177</v>
      </c>
      <c r="BN17" s="1">
        <f t="shared" si="99"/>
        <v>0</v>
      </c>
      <c r="BO17" s="4" t="b">
        <f t="shared" si="100"/>
        <v>0</v>
      </c>
      <c r="BP17" s="5">
        <f t="shared" si="101"/>
        <v>0</v>
      </c>
      <c r="BQ17" s="6">
        <f>IF(BO17=TRUE,ROUND(((7337-BP17)/3642.4)-1,6),0)</f>
        <v>0</v>
      </c>
      <c r="BR17" s="4">
        <f t="shared" si="103"/>
        <v>0</v>
      </c>
      <c r="BS17" s="4" t="b">
        <f t="shared" si="104"/>
        <v>1</v>
      </c>
      <c r="BT17" s="4">
        <f t="shared" si="105"/>
        <v>437.9513</v>
      </c>
      <c r="BU17" s="6">
        <f>IF(BS17=TRUE,ROUND(((5406-BT17)/3642.4)-1,6),0)</f>
        <v>0.36394900000000002</v>
      </c>
      <c r="BV17" s="1">
        <f t="shared" si="107"/>
        <v>238</v>
      </c>
      <c r="BW17" s="1">
        <f t="shared" si="108"/>
        <v>0</v>
      </c>
      <c r="BX17" s="116">
        <v>88</v>
      </c>
      <c r="BY17" s="7">
        <f t="shared" si="121"/>
        <v>3.03</v>
      </c>
      <c r="BZ17" s="7">
        <f>IF(ROUND((Weightings!$P$5*BY17^Weightings!$P$6*Weightings!$P$8 ),2)&lt;Weightings!$P$7,Weightings!$P$7,ROUND((Weightings!$P$5*BY17^Weightings!$P$6*Weightings!$P$8 ),2))</f>
        <v>778.32</v>
      </c>
      <c r="CA17" s="8">
        <f>ROUND(BZ17/Weightings!$M$5,4)</f>
        <v>0.20280000000000001</v>
      </c>
      <c r="CB17" s="1">
        <f t="shared" si="122"/>
        <v>54.1</v>
      </c>
      <c r="CC17" s="173">
        <v>0</v>
      </c>
      <c r="CD17" s="173">
        <v>0</v>
      </c>
      <c r="CE17" s="173">
        <v>0</v>
      </c>
      <c r="CF17" s="177">
        <v>0</v>
      </c>
      <c r="CG17" s="2">
        <f>AS17*Weightings!$M$5*CF17</f>
        <v>0</v>
      </c>
      <c r="CH17" s="2">
        <f t="shared" si="132"/>
        <v>0</v>
      </c>
      <c r="CI17" s="117">
        <f t="shared" si="111"/>
        <v>0.46899999999999997</v>
      </c>
      <c r="CJ17" s="4">
        <f t="shared" si="112"/>
        <v>7.4</v>
      </c>
      <c r="CK17" s="1">
        <f t="shared" si="124"/>
        <v>0</v>
      </c>
      <c r="CL17" s="1">
        <f t="shared" si="125"/>
        <v>0</v>
      </c>
      <c r="CM17" s="1">
        <f t="shared" si="126"/>
        <v>25.6</v>
      </c>
      <c r="CN17" s="1">
        <f>IF(ISNA(VLOOKUP($CZ17,'Audit Values'!$A$2:$AE$439,2,FALSE)),'Preliminary SO66'!T14,VLOOKUP($CZ17,'Audit Values'!$A$2:$AE$439,20,FALSE))</f>
        <v>0</v>
      </c>
      <c r="CO17" s="1">
        <f>CN17*1.05</f>
        <v>0</v>
      </c>
      <c r="CP17" s="183">
        <v>0</v>
      </c>
      <c r="CQ17" s="1">
        <f>CP17*0.25</f>
        <v>0</v>
      </c>
      <c r="CR17" s="2">
        <f>IF(ISNA(VLOOKUP($CZ17,'Audit Values'!$A$2:$AE$439,2,FALSE)),'Preliminary SO66'!V14,VLOOKUP($CZ17,'Audit Values'!$A$2:$AE$439,22,FALSE))</f>
        <v>0</v>
      </c>
      <c r="CS17" s="1">
        <f>CR17*0.08</f>
        <v>0</v>
      </c>
      <c r="CT17" s="2">
        <f>IF(ISNA(VLOOKUP($CZ17,'Audit Values'!$A$2:$AE$439,2,FALSE)),'Preliminary SO66'!W14,VLOOKUP($CZ17,'Audit Values'!$A$2:$AE$439,23,FALSE))</f>
        <v>0</v>
      </c>
      <c r="CU17" s="1">
        <f t="shared" si="113"/>
        <v>0</v>
      </c>
      <c r="CV17" s="1">
        <f t="shared" si="114"/>
        <v>0</v>
      </c>
      <c r="CW17" s="176">
        <v>0</v>
      </c>
      <c r="CX17" s="2">
        <f>IF(CW17&gt;0,Weightings!$M$11*AR17,0)</f>
        <v>0</v>
      </c>
      <c r="CY17" s="2">
        <f t="shared" si="130"/>
        <v>0</v>
      </c>
      <c r="CZ17" s="108" t="s">
        <v>309</v>
      </c>
    </row>
    <row r="18" spans="1:104">
      <c r="A18" s="82">
        <v>115</v>
      </c>
      <c r="B18" s="4" t="s">
        <v>102</v>
      </c>
      <c r="C18" s="4" t="s">
        <v>645</v>
      </c>
      <c r="D18" s="1">
        <v>564.79999999999995</v>
      </c>
      <c r="E18" s="1">
        <v>0</v>
      </c>
      <c r="F18" s="1">
        <f t="shared" si="115"/>
        <v>564.79999999999995</v>
      </c>
      <c r="G18" s="1">
        <v>578.29999999999995</v>
      </c>
      <c r="H18" s="1">
        <v>0</v>
      </c>
      <c r="I18" s="1">
        <f t="shared" si="116"/>
        <v>578.29999999999995</v>
      </c>
      <c r="J18" s="1">
        <f t="shared" si="79"/>
        <v>548</v>
      </c>
      <c r="K18" s="1">
        <f>IF(ISNA(VLOOKUP($CZ18,'Audit Values'!$A$2:$AE$439,2,FALSE)),'Preliminary SO66'!B15,VLOOKUP($CZ18,'Audit Values'!$A$2:$AE$439,31,FALSE))</f>
        <v>548</v>
      </c>
      <c r="L18" s="1">
        <f t="shared" si="80"/>
        <v>578.29999999999995</v>
      </c>
      <c r="M18" s="1">
        <f>IF(ISNA(VLOOKUP($CZ18,'Audit Values'!$A$2:$AE$439,2,FALSE)),'Preliminary SO66'!Z15,VLOOKUP($CZ18,'Audit Values'!$A$2:$AE$439,26,FALSE))</f>
        <v>0</v>
      </c>
      <c r="N18" s="1">
        <f t="shared" si="81"/>
        <v>578.29999999999995</v>
      </c>
      <c r="O18" s="1">
        <f>IF(ISNA(VLOOKUP($CZ18,'Audit Values'!$A$2:$AE$439,2,FALSE)),'Preliminary SO66'!C15,IF(VLOOKUP($CZ18,'Audit Values'!$A$2:$AE$439,28,FALSE)="",VLOOKUP($CZ18,'Audit Values'!$A$2:$AE$439,3,FALSE),VLOOKUP($CZ18,'Audit Values'!$A$2:$AE$439,28,FALSE)))</f>
        <v>9</v>
      </c>
      <c r="P18" s="109">
        <f t="shared" si="82"/>
        <v>557</v>
      </c>
      <c r="Q18" s="110">
        <f t="shared" si="83"/>
        <v>557</v>
      </c>
      <c r="R18" s="111">
        <f t="shared" si="84"/>
        <v>557</v>
      </c>
      <c r="S18" s="1">
        <f t="shared" si="85"/>
        <v>587.29999999999995</v>
      </c>
      <c r="T18" s="1">
        <f>CN18</f>
        <v>0</v>
      </c>
      <c r="U18" s="1">
        <f t="shared" si="87"/>
        <v>227</v>
      </c>
      <c r="V18" s="1">
        <f>MAX(BN18,BR18,BV18)</f>
        <v>227</v>
      </c>
      <c r="W18" s="1">
        <f>BW18</f>
        <v>0</v>
      </c>
      <c r="X18" s="1">
        <f>IF(ISNA(VLOOKUP($CZ18,'Audit Values'!$A$2:$AE$439,2,FALSE)),'Preliminary SO66'!D15,VLOOKUP($CZ18,'Audit Values'!$A$2:$AE$439,4,FALSE))</f>
        <v>320.5</v>
      </c>
      <c r="Y18" s="1">
        <f>ROUND((X18/6)*Weightings!$M$6,1)</f>
        <v>26.7</v>
      </c>
      <c r="Z18" s="1">
        <f>IF(ISNA(VLOOKUP($CZ18,'Audit Values'!$A$2:$AE$439,2,FALSE)),'Preliminary SO66'!F15,VLOOKUP($CZ18,'Audit Values'!$A$2:$AE$439,6,FALSE))</f>
        <v>0</v>
      </c>
      <c r="AA18" s="1">
        <f>ROUND((Z18/6)*Weightings!$M$7,1)</f>
        <v>0</v>
      </c>
      <c r="AB18" s="2">
        <f>IF(ISNA(VLOOKUP($CZ18,'Audit Values'!$A$2:$AE$439,2,FALSE)),'Preliminary SO66'!H15,VLOOKUP($CZ18,'Audit Values'!$A$2:$AE$439,8,FALSE))</f>
        <v>92</v>
      </c>
      <c r="AC18" s="1">
        <f>ROUND(AB18*Weightings!$M$8,1)</f>
        <v>42</v>
      </c>
      <c r="AD18" s="1">
        <f>MAX(CK18,CL18,CM18)</f>
        <v>0</v>
      </c>
      <c r="AE18" s="185">
        <v>30</v>
      </c>
      <c r="AF18" s="1">
        <f>AE18*Weightings!$M$9</f>
        <v>1.4</v>
      </c>
      <c r="AG18" s="1">
        <f>IF(ISNA(VLOOKUP($CZ18,'Audit Values'!$A$2:$AE$439,2,FALSE)),'Preliminary SO66'!L15,VLOOKUP($CZ18,'Audit Values'!$A$2:$AE$439,12,FALSE))</f>
        <v>0</v>
      </c>
      <c r="AH18" s="1">
        <f>ROUND(AG18*Weightings!$M$10,1)</f>
        <v>0</v>
      </c>
      <c r="AI18" s="1">
        <f>IF(ISNA(VLOOKUP($CZ18,'Audit Values'!$A$2:$AE$439,2,FALSE)),'Preliminary SO66'!O15,VLOOKUP($CZ18,'Audit Values'!$A$2:$AE$439,15,FALSE))</f>
        <v>216.5</v>
      </c>
      <c r="AJ18" s="1">
        <f t="shared" si="90"/>
        <v>56.8</v>
      </c>
      <c r="AK18" s="1">
        <f>CC18/Weightings!$M$5</f>
        <v>0</v>
      </c>
      <c r="AL18" s="1">
        <f>CD18/Weightings!$M$5</f>
        <v>0</v>
      </c>
      <c r="AM18" s="1">
        <f>CH18/Weightings!$M$5</f>
        <v>0</v>
      </c>
      <c r="AN18" s="1">
        <f>CV18</f>
        <v>0</v>
      </c>
      <c r="AO18" s="1">
        <f>IF(ISNA(VLOOKUP($CZ18,'Audit Values'!$A$2:$AE$439,2,FALSE)),'Preliminary SO66'!X15,VLOOKUP($CZ18,'Audit Values'!$A$2:$AE$439,24,FALSE))</f>
        <v>1</v>
      </c>
      <c r="AP18" s="188">
        <v>460553.99999999994</v>
      </c>
      <c r="AQ18" s="113">
        <f>AP18/Weightings!$M$5</f>
        <v>120</v>
      </c>
      <c r="AR18" s="113">
        <f t="shared" si="91"/>
        <v>942.2</v>
      </c>
      <c r="AS18" s="1">
        <f t="shared" si="92"/>
        <v>1062.2</v>
      </c>
      <c r="AT18" s="1">
        <f t="shared" si="93"/>
        <v>1062.2</v>
      </c>
      <c r="AU18" s="2">
        <f t="shared" si="119"/>
        <v>0</v>
      </c>
      <c r="AV18" s="82">
        <f>IF(ISNA(VLOOKUP($CZ18,'Audit Values'!$A$2:$AC$360,2,FALSE)),"",IF(AND(Weightings!H18&gt;0,VLOOKUP($CZ18,'Audit Values'!$A$2:$AC$360,29,FALSE)&lt;Weightings!H18),Weightings!H18,VLOOKUP($CZ18,'Audit Values'!$A$2:$AC$360,29,FALSE)))</f>
        <v>21</v>
      </c>
      <c r="AW18" s="82" t="str">
        <f>IF(ISNA(VLOOKUP($CZ18,'Audit Values'!$A$2:$AD$360,2,FALSE)),"",VLOOKUP($CZ18,'Audit Values'!$A$2:$AD$360,30,FALSE))</f>
        <v>A</v>
      </c>
      <c r="AX18" s="82" t="str">
        <f>IF(Weightings!G18="","",IF(Weightings!I18="Pending","PX","R"))</f>
        <v/>
      </c>
      <c r="AY18" s="141">
        <f>Exceptions!H63+AU18</f>
        <v>4507363</v>
      </c>
      <c r="AZ18" s="138">
        <f>Exceptions!H65+AU18</f>
        <v>4967923</v>
      </c>
      <c r="BA18" s="2">
        <f>IF(Weightings!G18&gt;0,Weightings!G18,'Preliminary SO66'!AB15)</f>
        <v>5127968</v>
      </c>
      <c r="BB18" s="2">
        <f t="shared" si="94"/>
        <v>4967923</v>
      </c>
      <c r="BC18" s="124"/>
      <c r="BD18" s="124">
        <f>Weightings!E18</f>
        <v>0</v>
      </c>
      <c r="BE18" s="124">
        <f>Weightings!F18</f>
        <v>0</v>
      </c>
      <c r="BF18" s="2">
        <f t="shared" si="95"/>
        <v>0</v>
      </c>
      <c r="BG18" s="2">
        <f t="shared" si="96"/>
        <v>4967923</v>
      </c>
      <c r="BH18" s="2">
        <f>MAX(ROUND(((AR18-AO18)*4433)+AP18,0),ROUND(((AR18-AO18)*4433)+Weightings!B18,0))</f>
        <v>4749573</v>
      </c>
      <c r="BI18" s="174">
        <v>0.3</v>
      </c>
      <c r="BJ18" s="2">
        <f t="shared" si="97"/>
        <v>1424872</v>
      </c>
      <c r="BK18" s="173">
        <v>1112250</v>
      </c>
      <c r="BL18" s="2">
        <f t="shared" si="131"/>
        <v>1112250</v>
      </c>
      <c r="BM18" s="3">
        <f>BL18/BH18</f>
        <v>0.23419999999999999</v>
      </c>
      <c r="BN18" s="1">
        <f t="shared" si="99"/>
        <v>0</v>
      </c>
      <c r="BO18" s="4" t="b">
        <f t="shared" si="100"/>
        <v>0</v>
      </c>
      <c r="BP18" s="5">
        <f t="shared" si="101"/>
        <v>0</v>
      </c>
      <c r="BQ18" s="6">
        <f>IF(BO18=TRUE,ROUND(((7337-BP18)/3642.4)-1,6),0)</f>
        <v>0</v>
      </c>
      <c r="BR18" s="4">
        <f t="shared" si="103"/>
        <v>0</v>
      </c>
      <c r="BS18" s="4" t="b">
        <f t="shared" si="104"/>
        <v>1</v>
      </c>
      <c r="BT18" s="4">
        <f t="shared" si="105"/>
        <v>355.53379999999999</v>
      </c>
      <c r="BU18" s="6">
        <f>IF(BS18=TRUE,ROUND(((5406-BT18)/3642.4)-1,6),0)</f>
        <v>0.38657599999999998</v>
      </c>
      <c r="BV18" s="1">
        <f t="shared" si="107"/>
        <v>227</v>
      </c>
      <c r="BW18" s="1">
        <f t="shared" si="108"/>
        <v>0</v>
      </c>
      <c r="BX18" s="116">
        <v>222</v>
      </c>
      <c r="BY18" s="7">
        <f t="shared" si="121"/>
        <v>0.98</v>
      </c>
      <c r="BZ18" s="7">
        <f>IF(ROUND((Weightings!$P$5*BY18^Weightings!$P$6*Weightings!$P$8 ),2)&lt;Weightings!$P$7,Weightings!$P$7,ROUND((Weightings!$P$5*BY18^Weightings!$P$6*Weightings!$P$8 ),2))</f>
        <v>1006.87</v>
      </c>
      <c r="CA18" s="8">
        <f>ROUND(BZ18/Weightings!$M$5,4)</f>
        <v>0.26229999999999998</v>
      </c>
      <c r="CB18" s="1">
        <f t="shared" si="122"/>
        <v>56.8</v>
      </c>
      <c r="CC18" s="173">
        <v>0</v>
      </c>
      <c r="CD18" s="173">
        <v>0</v>
      </c>
      <c r="CE18" s="173">
        <v>0</v>
      </c>
      <c r="CF18" s="177">
        <v>0</v>
      </c>
      <c r="CG18" s="2">
        <f>AS18*Weightings!$M$5*CF18</f>
        <v>0</v>
      </c>
      <c r="CH18" s="2">
        <f t="shared" si="132"/>
        <v>0</v>
      </c>
      <c r="CI18" s="117">
        <f t="shared" si="111"/>
        <v>0.157</v>
      </c>
      <c r="CJ18" s="4">
        <f t="shared" si="112"/>
        <v>2.6</v>
      </c>
      <c r="CK18" s="1">
        <f t="shared" si="124"/>
        <v>0</v>
      </c>
      <c r="CL18" s="1">
        <f t="shared" si="125"/>
        <v>0</v>
      </c>
      <c r="CM18" s="1">
        <f t="shared" si="126"/>
        <v>0</v>
      </c>
      <c r="CN18" s="1">
        <f>IF(ISNA(VLOOKUP($CZ18,'Audit Values'!$A$2:$AE$439,2,FALSE)),'Preliminary SO66'!T15,VLOOKUP($CZ18,'Audit Values'!$A$2:$AE$439,20,FALSE))</f>
        <v>0</v>
      </c>
      <c r="CO18" s="1">
        <f>CN18*1.05</f>
        <v>0</v>
      </c>
      <c r="CP18" s="183">
        <v>0</v>
      </c>
      <c r="CQ18" s="1">
        <f>CP18*0.25</f>
        <v>0</v>
      </c>
      <c r="CR18" s="2">
        <f>IF(ISNA(VLOOKUP($CZ18,'Audit Values'!$A$2:$AE$439,2,FALSE)),'Preliminary SO66'!V15,VLOOKUP($CZ18,'Audit Values'!$A$2:$AE$439,22,FALSE))</f>
        <v>0</v>
      </c>
      <c r="CS18" s="1">
        <f>CR18*0.08</f>
        <v>0</v>
      </c>
      <c r="CT18" s="2">
        <f>IF(ISNA(VLOOKUP($CZ18,'Audit Values'!$A$2:$AE$439,2,FALSE)),'Preliminary SO66'!W15,VLOOKUP($CZ18,'Audit Values'!$A$2:$AE$439,23,FALSE))</f>
        <v>0</v>
      </c>
      <c r="CU18" s="1">
        <f>CT18*0.08</f>
        <v>0</v>
      </c>
      <c r="CV18" s="1">
        <f>CO18+CQ18+CS18+CU18</f>
        <v>0</v>
      </c>
      <c r="CW18" s="176">
        <v>0</v>
      </c>
      <c r="CX18" s="2">
        <f>IF(CW18&gt;0,Weightings!$M$11*AR18,0)</f>
        <v>0</v>
      </c>
      <c r="CY18" s="2">
        <f t="shared" si="130"/>
        <v>0</v>
      </c>
      <c r="CZ18" s="108" t="s">
        <v>310</v>
      </c>
    </row>
    <row r="19" spans="1:104">
      <c r="A19" s="82">
        <v>200</v>
      </c>
      <c r="B19" s="4" t="s">
        <v>10</v>
      </c>
      <c r="C19" s="4" t="s">
        <v>646</v>
      </c>
      <c r="D19" s="1">
        <v>195</v>
      </c>
      <c r="E19" s="1">
        <v>0</v>
      </c>
      <c r="F19" s="1">
        <f>D19+E19</f>
        <v>195</v>
      </c>
      <c r="G19" s="1">
        <v>193.5</v>
      </c>
      <c r="H19" s="1">
        <v>0</v>
      </c>
      <c r="I19" s="1">
        <f t="shared" si="116"/>
        <v>193.5</v>
      </c>
      <c r="J19" s="1">
        <f t="shared" si="79"/>
        <v>206.6</v>
      </c>
      <c r="K19" s="1">
        <f>IF(ISNA(VLOOKUP($CZ19,'Audit Values'!$A$2:$AE$439,2,FALSE)),'Preliminary SO66'!B16,VLOOKUP($CZ19,'Audit Values'!$A$2:$AE$439,31,FALSE))</f>
        <v>205.3</v>
      </c>
      <c r="L19" s="1">
        <f t="shared" si="80"/>
        <v>205.3</v>
      </c>
      <c r="M19" s="1">
        <f>IF(ISNA(VLOOKUP($CZ19,'Audit Values'!$A$2:$AE$439,2,FALSE)),'Preliminary SO66'!Z16,VLOOKUP($CZ19,'Audit Values'!$A$2:$AE$439,26,FALSE))</f>
        <v>0</v>
      </c>
      <c r="N19" s="1">
        <f t="shared" si="81"/>
        <v>205.3</v>
      </c>
      <c r="O19" s="1">
        <f>IF(ISNA(VLOOKUP($CZ19,'Audit Values'!$A$2:$AE$439,2,FALSE)),'Preliminary SO66'!C16,IF(VLOOKUP($CZ19,'Audit Values'!$A$2:$AE$439,28,FALSE)="",VLOOKUP($CZ19,'Audit Values'!$A$2:$AE$439,3,FALSE),VLOOKUP($CZ19,'Audit Values'!$A$2:$AE$439,28,FALSE)))</f>
        <v>4</v>
      </c>
      <c r="P19" s="109">
        <f t="shared" si="82"/>
        <v>209.3</v>
      </c>
      <c r="Q19" s="110">
        <f t="shared" si="83"/>
        <v>210.6</v>
      </c>
      <c r="R19" s="111">
        <f t="shared" si="84"/>
        <v>210.6</v>
      </c>
      <c r="S19" s="1">
        <f t="shared" si="85"/>
        <v>209.3</v>
      </c>
      <c r="T19" s="1">
        <f t="shared" si="133"/>
        <v>1.3</v>
      </c>
      <c r="U19" s="1">
        <f t="shared" si="87"/>
        <v>151.69999999999999</v>
      </c>
      <c r="V19" s="1">
        <f t="shared" si="88"/>
        <v>151.69999999999999</v>
      </c>
      <c r="W19" s="1">
        <f t="shared" si="89"/>
        <v>0</v>
      </c>
      <c r="X19" s="1">
        <f>IF(ISNA(VLOOKUP($CZ19,'Audit Values'!$A$2:$AE$439,2,FALSE)),'Preliminary SO66'!D16,VLOOKUP($CZ19,'Audit Values'!$A$2:$AE$439,4,FALSE))</f>
        <v>39.9</v>
      </c>
      <c r="Y19" s="1">
        <f>ROUND((X19/6)*Weightings!$M$6,1)</f>
        <v>3.3</v>
      </c>
      <c r="Z19" s="1">
        <f>IF(ISNA(VLOOKUP($CZ19,'Audit Values'!$A$2:$AE$439,2,FALSE)),'Preliminary SO66'!F16,VLOOKUP($CZ19,'Audit Values'!$A$2:$AE$439,6,FALSE))</f>
        <v>190.2</v>
      </c>
      <c r="AA19" s="1">
        <f>ROUND((Z19/6)*Weightings!$M$7,1)</f>
        <v>12.5</v>
      </c>
      <c r="AB19" s="2">
        <f>IF(ISNA(VLOOKUP($CZ19,'Audit Values'!$A$2:$AE$439,2,FALSE)),'Preliminary SO66'!H16,VLOOKUP($CZ19,'Audit Values'!$A$2:$AE$439,8,FALSE))</f>
        <v>105</v>
      </c>
      <c r="AC19" s="1">
        <f>ROUND(AB19*Weightings!$M$8,1)</f>
        <v>47.9</v>
      </c>
      <c r="AD19" s="1">
        <f t="shared" si="117"/>
        <v>11</v>
      </c>
      <c r="AE19" s="185">
        <v>21</v>
      </c>
      <c r="AF19" s="1">
        <f>AE19*Weightings!$M$9</f>
        <v>1</v>
      </c>
      <c r="AG19" s="1">
        <f>IF(ISNA(VLOOKUP($CZ19,'Audit Values'!$A$2:$AE$439,2,FALSE)),'Preliminary SO66'!L16,VLOOKUP($CZ19,'Audit Values'!$A$2:$AE$439,12,FALSE))</f>
        <v>0</v>
      </c>
      <c r="AH19" s="1">
        <f>ROUND(AG19*Weightings!$M$10,1)</f>
        <v>0</v>
      </c>
      <c r="AI19" s="1">
        <f>IF(ISNA(VLOOKUP($CZ19,'Audit Values'!$A$2:$AE$439,2,FALSE)),'Preliminary SO66'!O16,VLOOKUP($CZ19,'Audit Values'!$A$2:$AE$439,15,FALSE))</f>
        <v>55</v>
      </c>
      <c r="AJ19" s="1">
        <f t="shared" si="90"/>
        <v>26.3</v>
      </c>
      <c r="AK19" s="1">
        <f>CC19/Weightings!$M$5</f>
        <v>0</v>
      </c>
      <c r="AL19" s="1">
        <f>CD19/Weightings!$M$5</f>
        <v>0</v>
      </c>
      <c r="AM19" s="1">
        <f>CH19/Weightings!$M$5</f>
        <v>0</v>
      </c>
      <c r="AN19" s="1">
        <f t="shared" si="118"/>
        <v>1.4</v>
      </c>
      <c r="AO19" s="1">
        <f>IF(ISNA(VLOOKUP($CZ19,'Audit Values'!$A$2:$AE$439,2,FALSE)),'Preliminary SO66'!X16,VLOOKUP($CZ19,'Audit Values'!$A$2:$AE$439,24,FALSE))</f>
        <v>0</v>
      </c>
      <c r="AP19" s="188">
        <v>126515</v>
      </c>
      <c r="AQ19" s="113">
        <f>AP19/Weightings!$M$5</f>
        <v>33</v>
      </c>
      <c r="AR19" s="113">
        <f t="shared" si="91"/>
        <v>464.4</v>
      </c>
      <c r="AS19" s="1">
        <f t="shared" si="92"/>
        <v>497.4</v>
      </c>
      <c r="AT19" s="1">
        <f t="shared" si="93"/>
        <v>497.4</v>
      </c>
      <c r="AU19" s="2">
        <f t="shared" si="119"/>
        <v>0</v>
      </c>
      <c r="AV19" s="82">
        <f>IF(ISNA(VLOOKUP($CZ19,'Audit Values'!$A$2:$AC$360,2,FALSE)),"",IF(AND(Weightings!H19&gt;0,VLOOKUP($CZ19,'Audit Values'!$A$2:$AC$360,29,FALSE)&lt;Weightings!H19),Weightings!H19,VLOOKUP($CZ19,'Audit Values'!$A$2:$AC$360,29,FALSE)))</f>
        <v>10</v>
      </c>
      <c r="AW19" s="82" t="str">
        <f>IF(ISNA(VLOOKUP($CZ19,'Audit Values'!$A$2:$AD$360,2,FALSE)),"",VLOOKUP($CZ19,'Audit Values'!$A$2:$AD$360,30,FALSE))</f>
        <v>A</v>
      </c>
      <c r="AX19" s="82" t="str">
        <f>IF(Weightings!G19="","",IF(Weightings!I19="Pending","PX","R"))</f>
        <v>R</v>
      </c>
      <c r="AY19" s="114">
        <f>AR19*Weightings!$M$5+AU19</f>
        <v>1782367</v>
      </c>
      <c r="AZ19" s="2">
        <f>AT19*Weightings!$M$5+AU19</f>
        <v>1909021</v>
      </c>
      <c r="BA19" s="2">
        <f>IF(Weightings!G19&gt;0,Weightings!G19,'Preliminary SO66'!AB16)</f>
        <v>1915175</v>
      </c>
      <c r="BB19" s="2">
        <f t="shared" si="94"/>
        <v>1909021</v>
      </c>
      <c r="BC19" s="124"/>
      <c r="BD19" s="124">
        <f>Weightings!E19</f>
        <v>0</v>
      </c>
      <c r="BE19" s="124">
        <f>Weightings!F19</f>
        <v>0</v>
      </c>
      <c r="BF19" s="2">
        <f t="shared" si="95"/>
        <v>0</v>
      </c>
      <c r="BG19" s="2">
        <f t="shared" si="96"/>
        <v>1909021</v>
      </c>
      <c r="BH19" s="2">
        <f>MAX(ROUND(((AR19-AO19)*4433)+AP19,0),ROUND(((AR19-AO19)*4433)+Weightings!B19,0))</f>
        <v>2224536</v>
      </c>
      <c r="BI19" s="174">
        <v>0.3</v>
      </c>
      <c r="BJ19" s="2">
        <f t="shared" ref="BJ19:BJ79" si="134">BH19*BI19</f>
        <v>667361</v>
      </c>
      <c r="BK19" s="173">
        <v>662972</v>
      </c>
      <c r="BL19" s="2">
        <f t="shared" si="98"/>
        <v>662972</v>
      </c>
      <c r="BM19" s="3">
        <f t="shared" si="120"/>
        <v>0.29799999999999999</v>
      </c>
      <c r="BN19" s="1">
        <f t="shared" si="99"/>
        <v>0</v>
      </c>
      <c r="BO19" s="4" t="b">
        <f t="shared" si="100"/>
        <v>1</v>
      </c>
      <c r="BP19" s="5">
        <f t="shared" si="101"/>
        <v>1055.2919999999999</v>
      </c>
      <c r="BQ19" s="6">
        <f t="shared" si="102"/>
        <v>0.724607</v>
      </c>
      <c r="BR19" s="4">
        <f t="shared" si="103"/>
        <v>151.69999999999999</v>
      </c>
      <c r="BS19" s="4" t="b">
        <f t="shared" si="104"/>
        <v>0</v>
      </c>
      <c r="BT19" s="4">
        <f t="shared" si="105"/>
        <v>0</v>
      </c>
      <c r="BU19" s="6">
        <f t="shared" si="106"/>
        <v>0</v>
      </c>
      <c r="BV19" s="1">
        <f t="shared" si="107"/>
        <v>0</v>
      </c>
      <c r="BW19" s="1">
        <f t="shared" si="108"/>
        <v>0</v>
      </c>
      <c r="BX19" s="116">
        <v>780</v>
      </c>
      <c r="BY19" s="7">
        <f t="shared" si="121"/>
        <v>7.0000000000000007E-2</v>
      </c>
      <c r="BZ19" s="7">
        <f>IF(ROUND((Weightings!$P$5*BY19^Weightings!$P$6*Weightings!$P$8 ),2)&lt;Weightings!$P$7,Weightings!$P$7,ROUND((Weightings!$P$5*BY19^Weightings!$P$6*Weightings!$P$8 ),2))</f>
        <v>1838.27</v>
      </c>
      <c r="CA19" s="8">
        <f>ROUND(BZ19/Weightings!$M$5,4)</f>
        <v>0.47899999999999998</v>
      </c>
      <c r="CB19" s="1">
        <f t="shared" si="122"/>
        <v>26.3</v>
      </c>
      <c r="CC19" s="173">
        <v>0</v>
      </c>
      <c r="CD19" s="173">
        <v>0</v>
      </c>
      <c r="CE19" s="173">
        <v>0</v>
      </c>
      <c r="CF19" s="177">
        <v>0</v>
      </c>
      <c r="CG19" s="2">
        <f>AS19*Weightings!$M$5*CF19</f>
        <v>0</v>
      </c>
      <c r="CH19" s="2">
        <f t="shared" si="123"/>
        <v>0</v>
      </c>
      <c r="CI19" s="117">
        <f t="shared" si="111"/>
        <v>0.502</v>
      </c>
      <c r="CJ19" s="4">
        <f t="shared" si="112"/>
        <v>0.3</v>
      </c>
      <c r="CK19" s="1">
        <f t="shared" si="124"/>
        <v>11</v>
      </c>
      <c r="CL19" s="1">
        <f t="shared" si="125"/>
        <v>0</v>
      </c>
      <c r="CM19" s="1">
        <f t="shared" si="126"/>
        <v>0</v>
      </c>
      <c r="CN19" s="1">
        <f>IF(ISNA(VLOOKUP($CZ19,'Audit Values'!$A$2:$AE$439,2,FALSE)),'Preliminary SO66'!T16,VLOOKUP($CZ19,'Audit Values'!$A$2:$AE$439,20,FALSE))</f>
        <v>1.3</v>
      </c>
      <c r="CO19" s="1">
        <f t="shared" si="127"/>
        <v>1.4</v>
      </c>
      <c r="CP19" s="183">
        <v>0</v>
      </c>
      <c r="CQ19" s="1">
        <f t="shared" si="128"/>
        <v>0</v>
      </c>
      <c r="CR19" s="2">
        <f>IF(ISNA(VLOOKUP($CZ19,'Audit Values'!$A$2:$AE$439,2,FALSE)),'Preliminary SO66'!V16,VLOOKUP($CZ19,'Audit Values'!$A$2:$AE$439,22,FALSE))</f>
        <v>0</v>
      </c>
      <c r="CS19" s="1">
        <f t="shared" si="129"/>
        <v>0</v>
      </c>
      <c r="CT19" s="2">
        <f>IF(ISNA(VLOOKUP($CZ19,'Audit Values'!$A$2:$AE$439,2,FALSE)),'Preliminary SO66'!W16,VLOOKUP($CZ19,'Audit Values'!$A$2:$AE$439,23,FALSE))</f>
        <v>0</v>
      </c>
      <c r="CU19" s="1">
        <f t="shared" si="113"/>
        <v>0</v>
      </c>
      <c r="CV19" s="1">
        <f t="shared" si="114"/>
        <v>1.4</v>
      </c>
      <c r="CW19" s="176">
        <v>0</v>
      </c>
      <c r="CX19" s="2">
        <f>IF(CW19&gt;0,Weightings!$M$11*AR19,0)</f>
        <v>0</v>
      </c>
      <c r="CY19" s="2">
        <f t="shared" si="130"/>
        <v>0</v>
      </c>
      <c r="CZ19" s="108" t="s">
        <v>311</v>
      </c>
    </row>
    <row r="20" spans="1:104">
      <c r="A20" s="82">
        <v>202</v>
      </c>
      <c r="B20" s="4" t="s">
        <v>11</v>
      </c>
      <c r="C20" s="4" t="s">
        <v>647</v>
      </c>
      <c r="D20" s="1">
        <v>3754.9</v>
      </c>
      <c r="E20" s="1">
        <v>0</v>
      </c>
      <c r="F20" s="1">
        <f t="shared" ref="F20:F82" si="135">D20+E20</f>
        <v>3754.9</v>
      </c>
      <c r="G20" s="1">
        <v>3801</v>
      </c>
      <c r="H20" s="1">
        <v>0</v>
      </c>
      <c r="I20" s="1">
        <f t="shared" si="116"/>
        <v>3801</v>
      </c>
      <c r="J20" s="1">
        <f t="shared" si="79"/>
        <v>3854</v>
      </c>
      <c r="K20" s="1">
        <f>IF(ISNA(VLOOKUP($CZ20,'Audit Values'!$A$2:$AE$439,2,FALSE)),'Preliminary SO66'!B17,VLOOKUP($CZ20,'Audit Values'!$A$2:$AE$439,31,FALSE))</f>
        <v>3854</v>
      </c>
      <c r="L20" s="1">
        <f t="shared" si="80"/>
        <v>3854</v>
      </c>
      <c r="M20" s="1">
        <f>IF(ISNA(VLOOKUP($CZ20,'Audit Values'!$A$2:$AE$439,2,FALSE)),'Preliminary SO66'!Z17,VLOOKUP($CZ20,'Audit Values'!$A$2:$AE$439,26,FALSE))</f>
        <v>0</v>
      </c>
      <c r="N20" s="1">
        <f t="shared" si="81"/>
        <v>3854</v>
      </c>
      <c r="O20" s="1">
        <f>IF(ISNA(VLOOKUP($CZ20,'Audit Values'!$A$2:$AE$439,2,FALSE)),'Preliminary SO66'!C17,IF(VLOOKUP($CZ20,'Audit Values'!$A$2:$AE$439,28,FALSE)="",VLOOKUP($CZ20,'Audit Values'!$A$2:$AE$439,3,FALSE),VLOOKUP($CZ20,'Audit Values'!$A$2:$AE$439,28,FALSE)))</f>
        <v>76.5</v>
      </c>
      <c r="P20" s="109">
        <f t="shared" si="82"/>
        <v>3930.5</v>
      </c>
      <c r="Q20" s="110">
        <f t="shared" si="83"/>
        <v>3930.5</v>
      </c>
      <c r="R20" s="111">
        <f t="shared" si="84"/>
        <v>3930.5</v>
      </c>
      <c r="S20" s="1">
        <f t="shared" si="85"/>
        <v>3930.5</v>
      </c>
      <c r="T20" s="1">
        <f t="shared" si="133"/>
        <v>0</v>
      </c>
      <c r="U20" s="1">
        <f t="shared" si="87"/>
        <v>137.69999999999999</v>
      </c>
      <c r="V20" s="1">
        <f t="shared" si="88"/>
        <v>0</v>
      </c>
      <c r="W20" s="1">
        <f t="shared" si="89"/>
        <v>137.69999999999999</v>
      </c>
      <c r="X20" s="1">
        <f>IF(ISNA(VLOOKUP($CZ20,'Audit Values'!$A$2:$AE$439,2,FALSE)),'Preliminary SO66'!D17,VLOOKUP($CZ20,'Audit Values'!$A$2:$AE$439,4,FALSE))</f>
        <v>879.4</v>
      </c>
      <c r="Y20" s="1">
        <f>ROUND((X20/6)*Weightings!$M$6,1)</f>
        <v>73.3</v>
      </c>
      <c r="Z20" s="1">
        <f>IF(ISNA(VLOOKUP($CZ20,'Audit Values'!$A$2:$AE$439,2,FALSE)),'Preliminary SO66'!F17,VLOOKUP($CZ20,'Audit Values'!$A$2:$AE$439,6,FALSE))</f>
        <v>1812.9</v>
      </c>
      <c r="AA20" s="1">
        <f>ROUND((Z20/6)*Weightings!$M$7,1)</f>
        <v>119.3</v>
      </c>
      <c r="AB20" s="2">
        <f>IF(ISNA(VLOOKUP($CZ20,'Audit Values'!$A$2:$AE$439,2,FALSE)),'Preliminary SO66'!H17,VLOOKUP($CZ20,'Audit Values'!$A$2:$AE$439,8,FALSE))</f>
        <v>2691</v>
      </c>
      <c r="AC20" s="1">
        <f>ROUND(AB20*Weightings!$M$8,1)</f>
        <v>1227.0999999999999</v>
      </c>
      <c r="AD20" s="1">
        <f t="shared" si="117"/>
        <v>282.60000000000002</v>
      </c>
      <c r="AE20" s="185">
        <v>301</v>
      </c>
      <c r="AF20" s="1">
        <f>AE20*Weightings!$M$9</f>
        <v>14</v>
      </c>
      <c r="AG20" s="1">
        <f>IF(ISNA(VLOOKUP($CZ20,'Audit Values'!$A$2:$AE$439,2,FALSE)),'Preliminary SO66'!L17,VLOOKUP($CZ20,'Audit Values'!$A$2:$AE$439,12,FALSE))</f>
        <v>0</v>
      </c>
      <c r="AH20" s="1">
        <f>ROUND(AG20*Weightings!$M$10,1)</f>
        <v>0</v>
      </c>
      <c r="AI20" s="1">
        <f>IF(ISNA(VLOOKUP($CZ20,'Audit Values'!$A$2:$AE$439,2,FALSE)),'Preliminary SO66'!O17,VLOOKUP($CZ20,'Audit Values'!$A$2:$AE$439,15,FALSE))</f>
        <v>1148</v>
      </c>
      <c r="AJ20" s="1">
        <f t="shared" si="90"/>
        <v>175</v>
      </c>
      <c r="AK20" s="1">
        <f>CC20/Weightings!$M$5</f>
        <v>0</v>
      </c>
      <c r="AL20" s="1">
        <f>CD20/Weightings!$M$5</f>
        <v>0</v>
      </c>
      <c r="AM20" s="1">
        <f>CH20/Weightings!$M$5</f>
        <v>0</v>
      </c>
      <c r="AN20" s="1">
        <f t="shared" si="118"/>
        <v>0</v>
      </c>
      <c r="AO20" s="1">
        <f>IF(ISNA(VLOOKUP($CZ20,'Audit Values'!$A$2:$AE$439,2,FALSE)),'Preliminary SO66'!X17,VLOOKUP($CZ20,'Audit Values'!$A$2:$AE$439,24,FALSE))</f>
        <v>0</v>
      </c>
      <c r="AP20" s="188">
        <v>2910720</v>
      </c>
      <c r="AQ20" s="113">
        <f>AP20/Weightings!$M$5</f>
        <v>758.4</v>
      </c>
      <c r="AR20" s="113">
        <f t="shared" si="91"/>
        <v>5959.5</v>
      </c>
      <c r="AS20" s="1">
        <f t="shared" si="92"/>
        <v>6717.9</v>
      </c>
      <c r="AT20" s="1">
        <f t="shared" si="93"/>
        <v>6717.9</v>
      </c>
      <c r="AU20" s="2">
        <f t="shared" si="119"/>
        <v>0</v>
      </c>
      <c r="AV20" s="82">
        <f>IF(ISNA(VLOOKUP($CZ20,'Audit Values'!$A$2:$AC$360,2,FALSE)),"",IF(AND(Weightings!H20&gt;0,VLOOKUP($CZ20,'Audit Values'!$A$2:$AC$360,29,FALSE)&lt;Weightings!H20),Weightings!H20,VLOOKUP($CZ20,'Audit Values'!$A$2:$AC$360,29,FALSE)))</f>
        <v>8</v>
      </c>
      <c r="AW20" s="82" t="str">
        <f>IF(ISNA(VLOOKUP($CZ20,'Audit Values'!$A$2:$AD$360,2,FALSE)),"",VLOOKUP($CZ20,'Audit Values'!$A$2:$AD$360,30,FALSE))</f>
        <v>A</v>
      </c>
      <c r="AX20" s="82" t="str">
        <f>IF(Weightings!G20="","",IF(Weightings!I20="Pending","PX","R"))</f>
        <v/>
      </c>
      <c r="AY20" s="114">
        <f>AR20*Weightings!$M$5+AU20</f>
        <v>22872561</v>
      </c>
      <c r="AZ20" s="2">
        <f>AT20*Weightings!$M$5+AU20</f>
        <v>25783300</v>
      </c>
      <c r="BA20" s="2">
        <f>IF(Weightings!G20&gt;0,Weightings!G20,'Preliminary SO66'!AB17)</f>
        <v>26329831</v>
      </c>
      <c r="BB20" s="2">
        <f t="shared" si="94"/>
        <v>25783300</v>
      </c>
      <c r="BC20" s="124"/>
      <c r="BD20" s="124">
        <f>Weightings!E20</f>
        <v>0</v>
      </c>
      <c r="BE20" s="124">
        <f>Weightings!F20</f>
        <v>0</v>
      </c>
      <c r="BF20" s="2">
        <f t="shared" si="95"/>
        <v>0</v>
      </c>
      <c r="BG20" s="2">
        <f t="shared" si="96"/>
        <v>25783300</v>
      </c>
      <c r="BH20" s="2">
        <f>MAX(ROUND(((AR20-AO20)*4433)+AP20,0),ROUND(((AR20-AO20)*4433)+Weightings!B20,0))</f>
        <v>29652466</v>
      </c>
      <c r="BI20" s="174">
        <v>0.3</v>
      </c>
      <c r="BJ20" s="2">
        <f t="shared" si="134"/>
        <v>8895740</v>
      </c>
      <c r="BK20" s="173">
        <v>8964011</v>
      </c>
      <c r="BL20" s="2">
        <f t="shared" si="98"/>
        <v>8895740</v>
      </c>
      <c r="BM20" s="3">
        <f t="shared" si="120"/>
        <v>0.3</v>
      </c>
      <c r="BN20" s="1">
        <f t="shared" si="99"/>
        <v>0</v>
      </c>
      <c r="BO20" s="4" t="b">
        <f t="shared" si="100"/>
        <v>0</v>
      </c>
      <c r="BP20" s="5">
        <f t="shared" si="101"/>
        <v>0</v>
      </c>
      <c r="BQ20" s="6">
        <f t="shared" si="102"/>
        <v>0</v>
      </c>
      <c r="BR20" s="4">
        <f t="shared" si="103"/>
        <v>0</v>
      </c>
      <c r="BS20" s="4" t="b">
        <f t="shared" si="104"/>
        <v>0</v>
      </c>
      <c r="BT20" s="4">
        <f t="shared" si="105"/>
        <v>0</v>
      </c>
      <c r="BU20" s="6">
        <f t="shared" si="106"/>
        <v>0</v>
      </c>
      <c r="BV20" s="1">
        <f t="shared" si="107"/>
        <v>0</v>
      </c>
      <c r="BW20" s="1">
        <f t="shared" si="108"/>
        <v>137.69999999999999</v>
      </c>
      <c r="BX20" s="116">
        <v>17</v>
      </c>
      <c r="BY20" s="7">
        <f t="shared" si="121"/>
        <v>67.53</v>
      </c>
      <c r="BZ20" s="7">
        <f>IF(ROUND((Weightings!$P$5*BY20^Weightings!$P$6*Weightings!$P$8 ),2)&lt;Weightings!$P$7,Weightings!$P$7,ROUND((Weightings!$P$5*BY20^Weightings!$P$6*Weightings!$P$8 ),2))</f>
        <v>585</v>
      </c>
      <c r="CA20" s="8">
        <f>ROUND(BZ20/Weightings!$M$5,4)</f>
        <v>0.15240000000000001</v>
      </c>
      <c r="CB20" s="1">
        <f t="shared" si="122"/>
        <v>175</v>
      </c>
      <c r="CC20" s="173">
        <v>0</v>
      </c>
      <c r="CD20" s="173">
        <v>0</v>
      </c>
      <c r="CE20" s="173">
        <v>0</v>
      </c>
      <c r="CF20" s="177">
        <v>0</v>
      </c>
      <c r="CG20" s="2">
        <f>AS20*Weightings!$M$5*CF20</f>
        <v>0</v>
      </c>
      <c r="CH20" s="2">
        <f t="shared" si="123"/>
        <v>0</v>
      </c>
      <c r="CI20" s="117">
        <f t="shared" si="111"/>
        <v>0.68500000000000005</v>
      </c>
      <c r="CJ20" s="4">
        <f t="shared" si="112"/>
        <v>231.2</v>
      </c>
      <c r="CK20" s="1">
        <f t="shared" si="124"/>
        <v>282.60000000000002</v>
      </c>
      <c r="CL20" s="1">
        <f t="shared" si="125"/>
        <v>282.60000000000002</v>
      </c>
      <c r="CM20" s="1">
        <f t="shared" si="126"/>
        <v>0</v>
      </c>
      <c r="CN20" s="1">
        <f>IF(ISNA(VLOOKUP($CZ20,'Audit Values'!$A$2:$AE$439,2,FALSE)),'Preliminary SO66'!T17,VLOOKUP($CZ20,'Audit Values'!$A$2:$AE$439,20,FALSE))</f>
        <v>0</v>
      </c>
      <c r="CO20" s="1">
        <f t="shared" si="127"/>
        <v>0</v>
      </c>
      <c r="CP20" s="183">
        <v>0</v>
      </c>
      <c r="CQ20" s="1">
        <f t="shared" si="128"/>
        <v>0</v>
      </c>
      <c r="CR20" s="2">
        <f>IF(ISNA(VLOOKUP($CZ20,'Audit Values'!$A$2:$AE$439,2,FALSE)),'Preliminary SO66'!V17,VLOOKUP($CZ20,'Audit Values'!$A$2:$AE$439,22,FALSE))</f>
        <v>0</v>
      </c>
      <c r="CS20" s="1">
        <f t="shared" si="129"/>
        <v>0</v>
      </c>
      <c r="CT20" s="2">
        <f>IF(ISNA(VLOOKUP($CZ20,'Audit Values'!$A$2:$AE$439,2,FALSE)),'Preliminary SO66'!W17,VLOOKUP($CZ20,'Audit Values'!$A$2:$AE$439,23,FALSE))</f>
        <v>0</v>
      </c>
      <c r="CU20" s="1">
        <f t="shared" si="113"/>
        <v>0</v>
      </c>
      <c r="CV20" s="1">
        <f t="shared" si="114"/>
        <v>0</v>
      </c>
      <c r="CW20" s="176">
        <v>0</v>
      </c>
      <c r="CX20" s="2">
        <f>IF(CW20&gt;0,Weightings!$M$11*AR20,0)</f>
        <v>0</v>
      </c>
      <c r="CY20" s="2">
        <f t="shared" si="130"/>
        <v>0</v>
      </c>
      <c r="CZ20" s="108" t="s">
        <v>312</v>
      </c>
    </row>
    <row r="21" spans="1:104">
      <c r="A21" s="82">
        <v>203</v>
      </c>
      <c r="B21" s="4" t="s">
        <v>11</v>
      </c>
      <c r="C21" s="4" t="s">
        <v>648</v>
      </c>
      <c r="D21" s="1">
        <v>1718</v>
      </c>
      <c r="E21" s="1">
        <v>0</v>
      </c>
      <c r="F21" s="1">
        <f t="shared" si="135"/>
        <v>1718</v>
      </c>
      <c r="G21" s="1">
        <v>1770.7</v>
      </c>
      <c r="H21" s="1">
        <v>0</v>
      </c>
      <c r="I21" s="1">
        <f t="shared" si="116"/>
        <v>1770.7</v>
      </c>
      <c r="J21" s="1">
        <f t="shared" si="79"/>
        <v>1799.6</v>
      </c>
      <c r="K21" s="1">
        <f>IF(ISNA(VLOOKUP($CZ21,'Audit Values'!$A$2:$AE$439,2,FALSE)),'Preliminary SO66'!B18,VLOOKUP($CZ21,'Audit Values'!$A$2:$AE$439,31,FALSE))</f>
        <v>1799.6</v>
      </c>
      <c r="L21" s="1">
        <f t="shared" si="80"/>
        <v>1799.6</v>
      </c>
      <c r="M21" s="1">
        <f>IF(ISNA(VLOOKUP($CZ21,'Audit Values'!$A$2:$AE$439,2,FALSE)),'Preliminary SO66'!Z18,VLOOKUP($CZ21,'Audit Values'!$A$2:$AE$439,26,FALSE))</f>
        <v>0</v>
      </c>
      <c r="N21" s="1">
        <f t="shared" si="81"/>
        <v>1799.6</v>
      </c>
      <c r="O21" s="1">
        <f>IF(ISNA(VLOOKUP($CZ21,'Audit Values'!$A$2:$AE$439,2,FALSE)),'Preliminary SO66'!C18,IF(VLOOKUP($CZ21,'Audit Values'!$A$2:$AE$439,28,FALSE)="",VLOOKUP($CZ21,'Audit Values'!$A$2:$AE$439,3,FALSE),VLOOKUP($CZ21,'Audit Values'!$A$2:$AE$439,28,FALSE)))</f>
        <v>4</v>
      </c>
      <c r="P21" s="109">
        <f t="shared" si="82"/>
        <v>1803.6</v>
      </c>
      <c r="Q21" s="110">
        <f t="shared" si="83"/>
        <v>1803.6</v>
      </c>
      <c r="R21" s="111">
        <f t="shared" si="84"/>
        <v>1803.6</v>
      </c>
      <c r="S21" s="1">
        <f t="shared" si="85"/>
        <v>1803.6</v>
      </c>
      <c r="T21" s="1">
        <f t="shared" si="133"/>
        <v>0</v>
      </c>
      <c r="U21" s="1">
        <f t="shared" si="87"/>
        <v>63.2</v>
      </c>
      <c r="V21" s="1">
        <f t="shared" si="88"/>
        <v>0</v>
      </c>
      <c r="W21" s="1">
        <f t="shared" si="89"/>
        <v>63.2</v>
      </c>
      <c r="X21" s="1">
        <f>IF(ISNA(VLOOKUP($CZ21,'Audit Values'!$A$2:$AE$439,2,FALSE)),'Preliminary SO66'!D18,VLOOKUP($CZ21,'Audit Values'!$A$2:$AE$439,4,FALSE))</f>
        <v>315.7</v>
      </c>
      <c r="Y21" s="1">
        <f>ROUND((X21/6)*Weightings!$M$6,1)</f>
        <v>26.3</v>
      </c>
      <c r="Z21" s="1">
        <f>IF(ISNA(VLOOKUP($CZ21,'Audit Values'!$A$2:$AE$439,2,FALSE)),'Preliminary SO66'!F18,VLOOKUP($CZ21,'Audit Values'!$A$2:$AE$439,6,FALSE))</f>
        <v>52.6</v>
      </c>
      <c r="AA21" s="1">
        <f>ROUND((Z21/6)*Weightings!$M$7,1)</f>
        <v>3.5</v>
      </c>
      <c r="AB21" s="2">
        <f>IF(ISNA(VLOOKUP($CZ21,'Audit Values'!$A$2:$AE$439,2,FALSE)),'Preliminary SO66'!H18,VLOOKUP($CZ21,'Audit Values'!$A$2:$AE$439,8,FALSE))</f>
        <v>255</v>
      </c>
      <c r="AC21" s="1">
        <f>ROUND(AB21*Weightings!$M$8,1)</f>
        <v>116.3</v>
      </c>
      <c r="AD21" s="1">
        <f t="shared" si="117"/>
        <v>0</v>
      </c>
      <c r="AE21" s="185">
        <v>96</v>
      </c>
      <c r="AF21" s="1">
        <f>AE21*Weightings!$M$9</f>
        <v>4.5</v>
      </c>
      <c r="AG21" s="1">
        <f>IF(ISNA(VLOOKUP($CZ21,'Audit Values'!$A$2:$AE$439,2,FALSE)),'Preliminary SO66'!L18,VLOOKUP($CZ21,'Audit Values'!$A$2:$AE$439,12,FALSE))</f>
        <v>120.4</v>
      </c>
      <c r="AH21" s="1">
        <f>ROUND(AG21*Weightings!$M$10,1)</f>
        <v>30.1</v>
      </c>
      <c r="AI21" s="1">
        <f>IF(ISNA(VLOOKUP($CZ21,'Audit Values'!$A$2:$AE$439,2,FALSE)),'Preliminary SO66'!O18,VLOOKUP($CZ21,'Audit Values'!$A$2:$AE$439,15,FALSE))</f>
        <v>1002</v>
      </c>
      <c r="AJ21" s="1">
        <f t="shared" si="90"/>
        <v>152.69999999999999</v>
      </c>
      <c r="AK21" s="1">
        <f>CC21/Weightings!$M$5</f>
        <v>0</v>
      </c>
      <c r="AL21" s="1">
        <f>CD21/Weightings!$M$5</f>
        <v>0</v>
      </c>
      <c r="AM21" s="1">
        <f>CH21/Weightings!$M$5</f>
        <v>0</v>
      </c>
      <c r="AN21" s="1">
        <f t="shared" si="118"/>
        <v>0</v>
      </c>
      <c r="AO21" s="1">
        <f>IF(ISNA(VLOOKUP($CZ21,'Audit Values'!$A$2:$AE$439,2,FALSE)),'Preliminary SO66'!X18,VLOOKUP($CZ21,'Audit Values'!$A$2:$AE$439,24,FALSE))</f>
        <v>0</v>
      </c>
      <c r="AP21" s="188">
        <v>1470100</v>
      </c>
      <c r="AQ21" s="113">
        <f>AP21/Weightings!$M$5</f>
        <v>383</v>
      </c>
      <c r="AR21" s="113">
        <f t="shared" si="91"/>
        <v>2200.1999999999998</v>
      </c>
      <c r="AS21" s="1">
        <f t="shared" si="92"/>
        <v>2583.1999999999998</v>
      </c>
      <c r="AT21" s="1">
        <f t="shared" si="93"/>
        <v>2583.1999999999998</v>
      </c>
      <c r="AU21" s="2">
        <f t="shared" si="119"/>
        <v>29725</v>
      </c>
      <c r="AV21" s="82">
        <f>IF(ISNA(VLOOKUP($CZ21,'Audit Values'!$A$2:$AC$360,2,FALSE)),"",IF(AND(Weightings!H21&gt;0,VLOOKUP($CZ21,'Audit Values'!$A$2:$AC$360,29,FALSE)&lt;Weightings!H21),Weightings!H21,VLOOKUP($CZ21,'Audit Values'!$A$2:$AC$360,29,FALSE)))</f>
        <v>7</v>
      </c>
      <c r="AW21" s="82" t="str">
        <f>IF(ISNA(VLOOKUP($CZ21,'Audit Values'!$A$2:$AD$360,2,FALSE)),"",VLOOKUP($CZ21,'Audit Values'!$A$2:$AD$360,30,FALSE))</f>
        <v>A</v>
      </c>
      <c r="AX21" s="82" t="str">
        <f>IF(Weightings!G21="","",IF(Weightings!I21="Pending","PX","R"))</f>
        <v/>
      </c>
      <c r="AY21" s="114">
        <f>AR21*Weightings!$M$5+AU21</f>
        <v>8474093</v>
      </c>
      <c r="AZ21" s="2">
        <f>AT21*Weightings!$M$5+AU21</f>
        <v>9944047</v>
      </c>
      <c r="BA21" s="2">
        <f>IF(Weightings!G21&gt;0,Weightings!G21,'Preliminary SO66'!AB18)</f>
        <v>10382174</v>
      </c>
      <c r="BB21" s="2">
        <f t="shared" si="94"/>
        <v>9944047</v>
      </c>
      <c r="BC21" s="124"/>
      <c r="BD21" s="124">
        <f>Weightings!E21</f>
        <v>0</v>
      </c>
      <c r="BE21" s="124">
        <f>Weightings!F21</f>
        <v>0</v>
      </c>
      <c r="BF21" s="2">
        <f t="shared" si="95"/>
        <v>0</v>
      </c>
      <c r="BG21" s="2">
        <f t="shared" si="96"/>
        <v>9944047</v>
      </c>
      <c r="BH21" s="2">
        <f>MAX(ROUND(((AR21-AO21)*4433)+AP21,0),ROUND(((AR21-AO21)*4433)+Weightings!B21,0))</f>
        <v>11223587</v>
      </c>
      <c r="BI21" s="174">
        <v>0.3</v>
      </c>
      <c r="BJ21" s="2">
        <f t="shared" si="134"/>
        <v>3367076</v>
      </c>
      <c r="BK21" s="173">
        <v>3522536</v>
      </c>
      <c r="BL21" s="2">
        <f t="shared" si="98"/>
        <v>3367076</v>
      </c>
      <c r="BM21" s="3">
        <f t="shared" si="120"/>
        <v>0.3</v>
      </c>
      <c r="BN21" s="1">
        <f t="shared" si="99"/>
        <v>0</v>
      </c>
      <c r="BO21" s="4" t="b">
        <f t="shared" si="100"/>
        <v>0</v>
      </c>
      <c r="BP21" s="5">
        <f t="shared" si="101"/>
        <v>0</v>
      </c>
      <c r="BQ21" s="6">
        <f t="shared" si="102"/>
        <v>0</v>
      </c>
      <c r="BR21" s="4">
        <f t="shared" si="103"/>
        <v>0</v>
      </c>
      <c r="BS21" s="4" t="b">
        <f t="shared" si="104"/>
        <v>0</v>
      </c>
      <c r="BT21" s="4">
        <f t="shared" si="105"/>
        <v>0</v>
      </c>
      <c r="BU21" s="6">
        <f t="shared" si="106"/>
        <v>0</v>
      </c>
      <c r="BV21" s="1">
        <f t="shared" si="107"/>
        <v>0</v>
      </c>
      <c r="BW21" s="1">
        <f t="shared" si="108"/>
        <v>63.2</v>
      </c>
      <c r="BX21" s="116">
        <v>31.4</v>
      </c>
      <c r="BY21" s="7">
        <f t="shared" si="121"/>
        <v>31.91</v>
      </c>
      <c r="BZ21" s="7">
        <f>IF(ROUND((Weightings!$P$5*BY21^Weightings!$P$6*Weightings!$P$8 ),2)&lt;Weightings!$P$7,Weightings!$P$7,ROUND((Weightings!$P$5*BY21^Weightings!$P$6*Weightings!$P$8 ),2))</f>
        <v>585</v>
      </c>
      <c r="CA21" s="8">
        <f>ROUND(BZ21/Weightings!$M$5,4)</f>
        <v>0.15240000000000001</v>
      </c>
      <c r="CB21" s="1">
        <f t="shared" si="122"/>
        <v>152.69999999999999</v>
      </c>
      <c r="CC21" s="173">
        <v>0</v>
      </c>
      <c r="CD21" s="173">
        <v>0</v>
      </c>
      <c r="CE21" s="173">
        <v>0</v>
      </c>
      <c r="CF21" s="177">
        <v>2.8500000000000001E-2</v>
      </c>
      <c r="CG21" s="2">
        <f>AS21*Weightings!$M$5*CF21</f>
        <v>282558</v>
      </c>
      <c r="CH21" s="2">
        <f t="shared" si="123"/>
        <v>0</v>
      </c>
      <c r="CI21" s="117">
        <f t="shared" si="111"/>
        <v>0.14099999999999999</v>
      </c>
      <c r="CJ21" s="4">
        <f t="shared" si="112"/>
        <v>57.4</v>
      </c>
      <c r="CK21" s="1">
        <f t="shared" si="124"/>
        <v>0</v>
      </c>
      <c r="CL21" s="1">
        <f t="shared" si="125"/>
        <v>0</v>
      </c>
      <c r="CM21" s="1">
        <f t="shared" si="126"/>
        <v>0</v>
      </c>
      <c r="CN21" s="1">
        <f>IF(ISNA(VLOOKUP($CZ21,'Audit Values'!$A$2:$AE$439,2,FALSE)),'Preliminary SO66'!T18,VLOOKUP($CZ21,'Audit Values'!$A$2:$AE$439,20,FALSE))</f>
        <v>0</v>
      </c>
      <c r="CO21" s="1">
        <f t="shared" si="127"/>
        <v>0</v>
      </c>
      <c r="CP21" s="183">
        <v>0</v>
      </c>
      <c r="CQ21" s="1">
        <f t="shared" si="128"/>
        <v>0</v>
      </c>
      <c r="CR21" s="2">
        <f>IF(ISNA(VLOOKUP($CZ21,'Audit Values'!$A$2:$AE$439,2,FALSE)),'Preliminary SO66'!V18,VLOOKUP($CZ21,'Audit Values'!$A$2:$AE$439,22,FALSE))</f>
        <v>0</v>
      </c>
      <c r="CS21" s="1">
        <f t="shared" si="129"/>
        <v>0</v>
      </c>
      <c r="CT21" s="2">
        <f>IF(ISNA(VLOOKUP($CZ21,'Audit Values'!$A$2:$AE$439,2,FALSE)),'Preliminary SO66'!W18,VLOOKUP($CZ21,'Audit Values'!$A$2:$AE$439,23,FALSE))</f>
        <v>0</v>
      </c>
      <c r="CU21" s="1">
        <f t="shared" si="113"/>
        <v>0</v>
      </c>
      <c r="CV21" s="1">
        <f t="shared" si="114"/>
        <v>0</v>
      </c>
      <c r="CW21" s="176">
        <v>29725</v>
      </c>
      <c r="CX21" s="2">
        <f>IF(CW21&gt;0,Weightings!$M$11*AR21,0)</f>
        <v>550050</v>
      </c>
      <c r="CY21" s="2">
        <f t="shared" si="130"/>
        <v>29725</v>
      </c>
      <c r="CZ21" s="108" t="s">
        <v>313</v>
      </c>
    </row>
    <row r="22" spans="1:104">
      <c r="A22" s="82">
        <v>204</v>
      </c>
      <c r="B22" s="4" t="s">
        <v>11</v>
      </c>
      <c r="C22" s="4" t="s">
        <v>649</v>
      </c>
      <c r="D22" s="1">
        <v>2404</v>
      </c>
      <c r="E22" s="1">
        <v>0</v>
      </c>
      <c r="F22" s="1">
        <f t="shared" si="135"/>
        <v>2404</v>
      </c>
      <c r="G22" s="1">
        <v>2388.1999999999998</v>
      </c>
      <c r="H22" s="1">
        <v>0</v>
      </c>
      <c r="I22" s="1">
        <f t="shared" si="116"/>
        <v>2388.1999999999998</v>
      </c>
      <c r="J22" s="1">
        <f t="shared" si="79"/>
        <v>2421.8000000000002</v>
      </c>
      <c r="K22" s="1">
        <f>IF(ISNA(VLOOKUP($CZ22,'Audit Values'!$A$2:$AE$439,2,FALSE)),'Preliminary SO66'!B19,VLOOKUP($CZ22,'Audit Values'!$A$2:$AE$439,31,FALSE))</f>
        <v>2421.8000000000002</v>
      </c>
      <c r="L22" s="1">
        <f t="shared" si="80"/>
        <v>2421.8000000000002</v>
      </c>
      <c r="M22" s="1">
        <f>IF(ISNA(VLOOKUP($CZ22,'Audit Values'!$A$2:$AE$439,2,FALSE)),'Preliminary SO66'!Z19,VLOOKUP($CZ22,'Audit Values'!$A$2:$AE$439,26,FALSE))</f>
        <v>0</v>
      </c>
      <c r="N22" s="1">
        <f t="shared" si="81"/>
        <v>2421.8000000000002</v>
      </c>
      <c r="O22" s="1">
        <f>IF(ISNA(VLOOKUP($CZ22,'Audit Values'!$A$2:$AE$439,2,FALSE)),'Preliminary SO66'!C19,IF(VLOOKUP($CZ22,'Audit Values'!$A$2:$AE$439,28,FALSE)="",VLOOKUP($CZ22,'Audit Values'!$A$2:$AE$439,3,FALSE),VLOOKUP($CZ22,'Audit Values'!$A$2:$AE$439,28,FALSE)))</f>
        <v>19</v>
      </c>
      <c r="P22" s="109">
        <f t="shared" si="82"/>
        <v>2440.8000000000002</v>
      </c>
      <c r="Q22" s="110">
        <f t="shared" si="83"/>
        <v>2440.8000000000002</v>
      </c>
      <c r="R22" s="111">
        <f t="shared" si="84"/>
        <v>2440.8000000000002</v>
      </c>
      <c r="S22" s="1">
        <f t="shared" si="85"/>
        <v>2440.8000000000002</v>
      </c>
      <c r="T22" s="1">
        <f t="shared" si="133"/>
        <v>0</v>
      </c>
      <c r="U22" s="1">
        <f t="shared" si="87"/>
        <v>85.5</v>
      </c>
      <c r="V22" s="1">
        <f t="shared" si="88"/>
        <v>0</v>
      </c>
      <c r="W22" s="1">
        <f t="shared" si="89"/>
        <v>85.5</v>
      </c>
      <c r="X22" s="1">
        <f>IF(ISNA(VLOOKUP($CZ22,'Audit Values'!$A$2:$AE$439,2,FALSE)),'Preliminary SO66'!D19,VLOOKUP($CZ22,'Audit Values'!$A$2:$AE$439,4,FALSE))</f>
        <v>436.7</v>
      </c>
      <c r="Y22" s="1">
        <f>ROUND((X22/6)*Weightings!$M$6,1)</f>
        <v>36.4</v>
      </c>
      <c r="Z22" s="1">
        <f>IF(ISNA(VLOOKUP($CZ22,'Audit Values'!$A$2:$AE$439,2,FALSE)),'Preliminary SO66'!F19,VLOOKUP($CZ22,'Audit Values'!$A$2:$AE$439,6,FALSE))</f>
        <v>459.8</v>
      </c>
      <c r="AA22" s="1">
        <f>ROUND((Z22/6)*Weightings!$M$7,1)</f>
        <v>30.3</v>
      </c>
      <c r="AB22" s="2">
        <f>IF(ISNA(VLOOKUP($CZ22,'Audit Values'!$A$2:$AE$439,2,FALSE)),'Preliminary SO66'!H19,VLOOKUP($CZ22,'Audit Values'!$A$2:$AE$439,8,FALSE))</f>
        <v>1069</v>
      </c>
      <c r="AC22" s="1">
        <f>ROUND(AB22*Weightings!$M$8,1)</f>
        <v>487.5</v>
      </c>
      <c r="AD22" s="1">
        <f t="shared" si="117"/>
        <v>65.900000000000006</v>
      </c>
      <c r="AE22" s="185">
        <v>221</v>
      </c>
      <c r="AF22" s="1">
        <f>AE22*Weightings!$M$9</f>
        <v>10.3</v>
      </c>
      <c r="AG22" s="1">
        <f>IF(ISNA(VLOOKUP($CZ22,'Audit Values'!$A$2:$AE$439,2,FALSE)),'Preliminary SO66'!L19,VLOOKUP($CZ22,'Audit Values'!$A$2:$AE$439,12,FALSE))</f>
        <v>0</v>
      </c>
      <c r="AH22" s="1">
        <f>ROUND(AG22*Weightings!$M$10,1)</f>
        <v>0</v>
      </c>
      <c r="AI22" s="1">
        <f>IF(ISNA(VLOOKUP($CZ22,'Audit Values'!$A$2:$AE$439,2,FALSE)),'Preliminary SO66'!O19,VLOOKUP($CZ22,'Audit Values'!$A$2:$AE$439,15,FALSE))</f>
        <v>861</v>
      </c>
      <c r="AJ22" s="1">
        <f t="shared" si="90"/>
        <v>131.19999999999999</v>
      </c>
      <c r="AK22" s="1">
        <f>CC22/Weightings!$M$5</f>
        <v>0</v>
      </c>
      <c r="AL22" s="1">
        <f>CD22/Weightings!$M$5</f>
        <v>0</v>
      </c>
      <c r="AM22" s="1">
        <f>CH22/Weightings!$M$5</f>
        <v>0</v>
      </c>
      <c r="AN22" s="1">
        <f t="shared" si="118"/>
        <v>0</v>
      </c>
      <c r="AO22" s="1">
        <f>IF(ISNA(VLOOKUP($CZ22,'Audit Values'!$A$2:$AE$439,2,FALSE)),'Preliminary SO66'!X19,VLOOKUP($CZ22,'Audit Values'!$A$2:$AE$439,24,FALSE))</f>
        <v>0</v>
      </c>
      <c r="AP22" s="188">
        <v>2369991</v>
      </c>
      <c r="AQ22" s="113">
        <f>AP22/Weightings!$M$5</f>
        <v>617.5</v>
      </c>
      <c r="AR22" s="113">
        <f t="shared" si="91"/>
        <v>3287.9</v>
      </c>
      <c r="AS22" s="1">
        <f t="shared" si="92"/>
        <v>3905.4</v>
      </c>
      <c r="AT22" s="1">
        <f t="shared" si="93"/>
        <v>3905.4</v>
      </c>
      <c r="AU22" s="2">
        <f t="shared" si="119"/>
        <v>0</v>
      </c>
      <c r="AV22" s="82">
        <f>IF(ISNA(VLOOKUP($CZ22,'Audit Values'!$A$2:$AC$360,2,FALSE)),"",IF(AND(Weightings!H22&gt;0,VLOOKUP($CZ22,'Audit Values'!$A$2:$AC$360,29,FALSE)&lt;Weightings!H22),Weightings!H22,VLOOKUP($CZ22,'Audit Values'!$A$2:$AC$360,29,FALSE)))</f>
        <v>21</v>
      </c>
      <c r="AW22" s="82" t="str">
        <f>IF(ISNA(VLOOKUP($CZ22,'Audit Values'!$A$2:$AD$360,2,FALSE)),"",VLOOKUP($CZ22,'Audit Values'!$A$2:$AD$360,30,FALSE))</f>
        <v>A</v>
      </c>
      <c r="AX22" s="82" t="str">
        <f>IF(Weightings!G22="","",IF(Weightings!I22="Pending","PX","R"))</f>
        <v/>
      </c>
      <c r="AY22" s="114">
        <f>AR22*Weightings!$M$5+AU22</f>
        <v>12618960</v>
      </c>
      <c r="AZ22" s="2">
        <f>AT22*Weightings!$M$5+AU22</f>
        <v>14988925</v>
      </c>
      <c r="BA22" s="2">
        <f>IF(Weightings!G22&gt;0,Weightings!G22,'Preliminary SO66'!AB19)</f>
        <v>15239930</v>
      </c>
      <c r="BB22" s="2">
        <f t="shared" si="94"/>
        <v>14988925</v>
      </c>
      <c r="BC22" s="124"/>
      <c r="BD22" s="124">
        <f>Weightings!E22</f>
        <v>-1725</v>
      </c>
      <c r="BE22" s="124">
        <f>Weightings!F22</f>
        <v>0</v>
      </c>
      <c r="BF22" s="2">
        <f t="shared" si="95"/>
        <v>-1725</v>
      </c>
      <c r="BG22" s="2">
        <f t="shared" si="96"/>
        <v>14987200</v>
      </c>
      <c r="BH22" s="2">
        <f>MAX(ROUND(((AR22-AO22)*4433)+AP22,0),ROUND(((AR22-AO22)*4433)+Weightings!B22,0))</f>
        <v>16945252</v>
      </c>
      <c r="BI22" s="174">
        <v>0.3</v>
      </c>
      <c r="BJ22" s="2">
        <f t="shared" si="134"/>
        <v>5083576</v>
      </c>
      <c r="BK22" s="173">
        <v>5157821</v>
      </c>
      <c r="BL22" s="2">
        <f t="shared" si="98"/>
        <v>5083576</v>
      </c>
      <c r="BM22" s="3">
        <f t="shared" si="120"/>
        <v>0.3</v>
      </c>
      <c r="BN22" s="1">
        <f t="shared" si="99"/>
        <v>0</v>
      </c>
      <c r="BO22" s="4" t="b">
        <f t="shared" si="100"/>
        <v>0</v>
      </c>
      <c r="BP22" s="5">
        <f t="shared" si="101"/>
        <v>0</v>
      </c>
      <c r="BQ22" s="6">
        <f t="shared" si="102"/>
        <v>0</v>
      </c>
      <c r="BR22" s="4">
        <f t="shared" si="103"/>
        <v>0</v>
      </c>
      <c r="BS22" s="4" t="b">
        <f t="shared" si="104"/>
        <v>0</v>
      </c>
      <c r="BT22" s="4">
        <f t="shared" si="105"/>
        <v>0</v>
      </c>
      <c r="BU22" s="6">
        <f t="shared" si="106"/>
        <v>0</v>
      </c>
      <c r="BV22" s="1">
        <f t="shared" si="107"/>
        <v>0</v>
      </c>
      <c r="BW22" s="1">
        <f t="shared" si="108"/>
        <v>85.5</v>
      </c>
      <c r="BX22" s="116">
        <v>38</v>
      </c>
      <c r="BY22" s="7">
        <f t="shared" si="121"/>
        <v>22.66</v>
      </c>
      <c r="BZ22" s="7">
        <f>IF(ROUND((Weightings!$P$5*BY22^Weightings!$P$6*Weightings!$P$8 ),2)&lt;Weightings!$P$7,Weightings!$P$7,ROUND((Weightings!$P$5*BY22^Weightings!$P$6*Weightings!$P$8 ),2))</f>
        <v>585</v>
      </c>
      <c r="CA22" s="8">
        <f>ROUND(BZ22/Weightings!$M$5,4)</f>
        <v>0.15240000000000001</v>
      </c>
      <c r="CB22" s="1">
        <f t="shared" si="122"/>
        <v>131.19999999999999</v>
      </c>
      <c r="CC22" s="173">
        <v>0</v>
      </c>
      <c r="CD22" s="173">
        <v>0</v>
      </c>
      <c r="CE22" s="173">
        <v>0</v>
      </c>
      <c r="CF22" s="177">
        <v>0</v>
      </c>
      <c r="CG22" s="2">
        <f>AS22*Weightings!$M$5*CF22</f>
        <v>0</v>
      </c>
      <c r="CH22" s="2">
        <f t="shared" si="123"/>
        <v>0</v>
      </c>
      <c r="CI22" s="117">
        <f t="shared" si="111"/>
        <v>0.438</v>
      </c>
      <c r="CJ22" s="4">
        <f t="shared" si="112"/>
        <v>64.2</v>
      </c>
      <c r="CK22" s="1">
        <f t="shared" si="124"/>
        <v>0</v>
      </c>
      <c r="CL22" s="1">
        <f t="shared" si="125"/>
        <v>0</v>
      </c>
      <c r="CM22" s="1">
        <f t="shared" si="126"/>
        <v>65.900000000000006</v>
      </c>
      <c r="CN22" s="1">
        <f>IF(ISNA(VLOOKUP($CZ22,'Audit Values'!$A$2:$AE$439,2,FALSE)),'Preliminary SO66'!T19,VLOOKUP($CZ22,'Audit Values'!$A$2:$AE$439,20,FALSE))</f>
        <v>0</v>
      </c>
      <c r="CO22" s="1">
        <f t="shared" si="127"/>
        <v>0</v>
      </c>
      <c r="CP22" s="183">
        <v>0</v>
      </c>
      <c r="CQ22" s="1">
        <f t="shared" si="128"/>
        <v>0</v>
      </c>
      <c r="CR22" s="2">
        <f>IF(ISNA(VLOOKUP($CZ22,'Audit Values'!$A$2:$AE$439,2,FALSE)),'Preliminary SO66'!V19,VLOOKUP($CZ22,'Audit Values'!$A$2:$AE$439,22,FALSE))</f>
        <v>0</v>
      </c>
      <c r="CS22" s="1">
        <f t="shared" si="129"/>
        <v>0</v>
      </c>
      <c r="CT22" s="2">
        <f>IF(ISNA(VLOOKUP($CZ22,'Audit Values'!$A$2:$AE$439,2,FALSE)),'Preliminary SO66'!W19,VLOOKUP($CZ22,'Audit Values'!$A$2:$AE$439,23,FALSE))</f>
        <v>0</v>
      </c>
      <c r="CU22" s="1">
        <f t="shared" si="113"/>
        <v>0</v>
      </c>
      <c r="CV22" s="1">
        <f t="shared" si="114"/>
        <v>0</v>
      </c>
      <c r="CW22" s="176">
        <v>0</v>
      </c>
      <c r="CX22" s="2">
        <f>IF(CW22&gt;0,Weightings!$M$11*AR22,0)</f>
        <v>0</v>
      </c>
      <c r="CY22" s="2">
        <f t="shared" si="130"/>
        <v>0</v>
      </c>
      <c r="CZ22" s="108" t="s">
        <v>314</v>
      </c>
    </row>
    <row r="23" spans="1:104">
      <c r="A23" s="82">
        <v>205</v>
      </c>
      <c r="B23" s="4" t="s">
        <v>12</v>
      </c>
      <c r="C23" s="4" t="s">
        <v>650</v>
      </c>
      <c r="D23" s="1">
        <v>495.7</v>
      </c>
      <c r="E23" s="1">
        <v>0</v>
      </c>
      <c r="F23" s="1">
        <f t="shared" si="135"/>
        <v>495.7</v>
      </c>
      <c r="G23" s="1">
        <v>501.6</v>
      </c>
      <c r="H23" s="1">
        <v>0</v>
      </c>
      <c r="I23" s="1">
        <f t="shared" si="116"/>
        <v>501.6</v>
      </c>
      <c r="J23" s="1">
        <f t="shared" si="79"/>
        <v>502.2</v>
      </c>
      <c r="K23" s="1">
        <f>IF(ISNA(VLOOKUP($CZ23,'Audit Values'!$A$2:$AE$439,2,FALSE)),'Preliminary SO66'!B20,VLOOKUP($CZ23,'Audit Values'!$A$2:$AE$439,31,FALSE))</f>
        <v>502.2</v>
      </c>
      <c r="L23" s="1">
        <f t="shared" si="80"/>
        <v>502.2</v>
      </c>
      <c r="M23" s="1">
        <f>IF(ISNA(VLOOKUP($CZ23,'Audit Values'!$A$2:$AE$439,2,FALSE)),'Preliminary SO66'!Z20,VLOOKUP($CZ23,'Audit Values'!$A$2:$AE$439,26,FALSE))</f>
        <v>0</v>
      </c>
      <c r="N23" s="1">
        <f t="shared" si="81"/>
        <v>502.2</v>
      </c>
      <c r="O23" s="1">
        <f>IF(ISNA(VLOOKUP($CZ23,'Audit Values'!$A$2:$AE$439,2,FALSE)),'Preliminary SO66'!C20,IF(VLOOKUP($CZ23,'Audit Values'!$A$2:$AE$439,28,FALSE)="",VLOOKUP($CZ23,'Audit Values'!$A$2:$AE$439,3,FALSE),VLOOKUP($CZ23,'Audit Values'!$A$2:$AE$439,28,FALSE)))</f>
        <v>0</v>
      </c>
      <c r="P23" s="109">
        <f t="shared" si="82"/>
        <v>502.2</v>
      </c>
      <c r="Q23" s="110">
        <f t="shared" si="83"/>
        <v>502.2</v>
      </c>
      <c r="R23" s="111">
        <f t="shared" si="84"/>
        <v>502.2</v>
      </c>
      <c r="S23" s="1">
        <f t="shared" si="85"/>
        <v>502.2</v>
      </c>
      <c r="T23" s="1">
        <f t="shared" si="133"/>
        <v>0</v>
      </c>
      <c r="U23" s="1">
        <f t="shared" si="87"/>
        <v>208.7</v>
      </c>
      <c r="V23" s="1">
        <f t="shared" si="88"/>
        <v>208.7</v>
      </c>
      <c r="W23" s="1">
        <f t="shared" si="89"/>
        <v>0</v>
      </c>
      <c r="X23" s="1">
        <f>IF(ISNA(VLOOKUP($CZ23,'Audit Values'!$A$2:$AE$439,2,FALSE)),'Preliminary SO66'!D20,VLOOKUP($CZ23,'Audit Values'!$A$2:$AE$439,4,FALSE))</f>
        <v>98</v>
      </c>
      <c r="Y23" s="1">
        <f>ROUND((X23/6)*Weightings!$M$6,1)</f>
        <v>8.1999999999999993</v>
      </c>
      <c r="Z23" s="1">
        <f>IF(ISNA(VLOOKUP($CZ23,'Audit Values'!$A$2:$AE$439,2,FALSE)),'Preliminary SO66'!F20,VLOOKUP($CZ23,'Audit Values'!$A$2:$AE$439,6,FALSE))</f>
        <v>0</v>
      </c>
      <c r="AA23" s="1">
        <f>ROUND((Z23/6)*Weightings!$M$7,1)</f>
        <v>0</v>
      </c>
      <c r="AB23" s="2">
        <f>IF(ISNA(VLOOKUP($CZ23,'Audit Values'!$A$2:$AE$439,2,FALSE)),'Preliminary SO66'!H20,VLOOKUP($CZ23,'Audit Values'!$A$2:$AE$439,8,FALSE))</f>
        <v>239</v>
      </c>
      <c r="AC23" s="1">
        <f>ROUND(AB23*Weightings!$M$8,1)</f>
        <v>109</v>
      </c>
      <c r="AD23" s="1">
        <f t="shared" si="117"/>
        <v>21.1</v>
      </c>
      <c r="AE23" s="185">
        <v>35</v>
      </c>
      <c r="AF23" s="1">
        <f>AE23*Weightings!$M$9</f>
        <v>1.6</v>
      </c>
      <c r="AG23" s="1">
        <f>IF(ISNA(VLOOKUP($CZ23,'Audit Values'!$A$2:$AE$439,2,FALSE)),'Preliminary SO66'!L20,VLOOKUP($CZ23,'Audit Values'!$A$2:$AE$439,12,FALSE))</f>
        <v>0</v>
      </c>
      <c r="AH23" s="1">
        <f>ROUND(AG23*Weightings!$M$10,1)</f>
        <v>0</v>
      </c>
      <c r="AI23" s="1">
        <f>IF(ISNA(VLOOKUP($CZ23,'Audit Values'!$A$2:$AE$439,2,FALSE)),'Preliminary SO66'!O20,VLOOKUP($CZ23,'Audit Values'!$A$2:$AE$439,15,FALSE))</f>
        <v>276</v>
      </c>
      <c r="AJ23" s="1">
        <f t="shared" si="90"/>
        <v>76.099999999999994</v>
      </c>
      <c r="AK23" s="1">
        <f>CC23/Weightings!$M$5</f>
        <v>0</v>
      </c>
      <c r="AL23" s="1">
        <f>CD23/Weightings!$M$5</f>
        <v>0</v>
      </c>
      <c r="AM23" s="1">
        <f>CH23/Weightings!$M$5</f>
        <v>0</v>
      </c>
      <c r="AN23" s="1">
        <f t="shared" si="118"/>
        <v>0</v>
      </c>
      <c r="AO23" s="1">
        <f>IF(ISNA(VLOOKUP($CZ23,'Audit Values'!$A$2:$AE$439,2,FALSE)),'Preliminary SO66'!X20,VLOOKUP($CZ23,'Audit Values'!$A$2:$AE$439,24,FALSE))</f>
        <v>0</v>
      </c>
      <c r="AP23" s="188">
        <v>604334</v>
      </c>
      <c r="AQ23" s="113">
        <f>AP23/Weightings!$M$5</f>
        <v>157.5</v>
      </c>
      <c r="AR23" s="113">
        <f t="shared" si="91"/>
        <v>926.9</v>
      </c>
      <c r="AS23" s="1">
        <f t="shared" si="92"/>
        <v>1084.4000000000001</v>
      </c>
      <c r="AT23" s="1">
        <f t="shared" si="93"/>
        <v>1084.4000000000001</v>
      </c>
      <c r="AU23" s="2">
        <f t="shared" si="119"/>
        <v>0</v>
      </c>
      <c r="AV23" s="82">
        <f>IF(ISNA(VLOOKUP($CZ23,'Audit Values'!$A$2:$AC$360,2,FALSE)),"",IF(AND(Weightings!H23&gt;0,VLOOKUP($CZ23,'Audit Values'!$A$2:$AC$360,29,FALSE)&lt;Weightings!H23),Weightings!H23,VLOOKUP($CZ23,'Audit Values'!$A$2:$AC$360,29,FALSE)))</f>
        <v>15</v>
      </c>
      <c r="AW23" s="82" t="str">
        <f>IF(ISNA(VLOOKUP($CZ23,'Audit Values'!$A$2:$AD$360,2,FALSE)),"",VLOOKUP($CZ23,'Audit Values'!$A$2:$AD$360,30,FALSE))</f>
        <v>A</v>
      </c>
      <c r="AX23" s="82" t="str">
        <f>IF(Weightings!G23="","",IF(Weightings!I23="Pending","PX","R"))</f>
        <v/>
      </c>
      <c r="AY23" s="114">
        <f>AR23*Weightings!$M$5+AU23</f>
        <v>3557442</v>
      </c>
      <c r="AZ23" s="2">
        <f>AT23*Weightings!$M$5+AU23</f>
        <v>4161927</v>
      </c>
      <c r="BA23" s="2">
        <f>IF(Weightings!G23&gt;0,Weightings!G23,'Preliminary SO66'!AB20)</f>
        <v>4333486</v>
      </c>
      <c r="BB23" s="2">
        <f t="shared" si="94"/>
        <v>4161927</v>
      </c>
      <c r="BC23" s="124"/>
      <c r="BD23" s="124">
        <f>Weightings!E23</f>
        <v>0</v>
      </c>
      <c r="BE23" s="124">
        <f>Weightings!F23</f>
        <v>0</v>
      </c>
      <c r="BF23" s="2">
        <f t="shared" si="95"/>
        <v>0</v>
      </c>
      <c r="BG23" s="2">
        <f t="shared" si="96"/>
        <v>4161927</v>
      </c>
      <c r="BH23" s="2">
        <f>MAX(ROUND(((AR23-AO23)*4433)+AP23,0),ROUND(((AR23-AO23)*4433)+Weightings!B23,0))</f>
        <v>4715422</v>
      </c>
      <c r="BI23" s="174">
        <v>0.3</v>
      </c>
      <c r="BJ23" s="2">
        <f t="shared" si="134"/>
        <v>1414627</v>
      </c>
      <c r="BK23" s="173">
        <v>1465648</v>
      </c>
      <c r="BL23" s="2">
        <f t="shared" si="98"/>
        <v>1414627</v>
      </c>
      <c r="BM23" s="3">
        <f t="shared" si="120"/>
        <v>0.3</v>
      </c>
      <c r="BN23" s="1">
        <f t="shared" si="99"/>
        <v>0</v>
      </c>
      <c r="BO23" s="4" t="b">
        <f t="shared" si="100"/>
        <v>0</v>
      </c>
      <c r="BP23" s="5">
        <f t="shared" si="101"/>
        <v>0</v>
      </c>
      <c r="BQ23" s="6">
        <f t="shared" si="102"/>
        <v>0</v>
      </c>
      <c r="BR23" s="4">
        <f t="shared" si="103"/>
        <v>0</v>
      </c>
      <c r="BS23" s="4" t="b">
        <f t="shared" si="104"/>
        <v>1</v>
      </c>
      <c r="BT23" s="4">
        <f t="shared" si="105"/>
        <v>250.2225</v>
      </c>
      <c r="BU23" s="6">
        <f t="shared" si="106"/>
        <v>0.415489</v>
      </c>
      <c r="BV23" s="1">
        <f t="shared" si="107"/>
        <v>208.7</v>
      </c>
      <c r="BW23" s="1">
        <f t="shared" si="108"/>
        <v>0</v>
      </c>
      <c r="BX23" s="116">
        <v>348.6</v>
      </c>
      <c r="BY23" s="7">
        <f t="shared" si="121"/>
        <v>0.79</v>
      </c>
      <c r="BZ23" s="7">
        <f>IF(ROUND((Weightings!$P$5*BY23^Weightings!$P$6*Weightings!$P$8 ),2)&lt;Weightings!$P$7,Weightings!$P$7,ROUND((Weightings!$P$5*BY23^Weightings!$P$6*Weightings!$P$8 ),2))</f>
        <v>1057.6099999999999</v>
      </c>
      <c r="CA23" s="8">
        <f>ROUND(BZ23/Weightings!$M$5,4)</f>
        <v>0.27560000000000001</v>
      </c>
      <c r="CB23" s="1">
        <f t="shared" si="122"/>
        <v>76.099999999999994</v>
      </c>
      <c r="CC23" s="173">
        <v>0</v>
      </c>
      <c r="CD23" s="173">
        <v>0</v>
      </c>
      <c r="CE23" s="173">
        <v>0</v>
      </c>
      <c r="CF23" s="177">
        <v>0</v>
      </c>
      <c r="CG23" s="2">
        <f>AS23*Weightings!$M$5*CF23</f>
        <v>0</v>
      </c>
      <c r="CH23" s="2">
        <f t="shared" si="123"/>
        <v>0</v>
      </c>
      <c r="CI23" s="117">
        <f t="shared" si="111"/>
        <v>0.47599999999999998</v>
      </c>
      <c r="CJ23" s="4">
        <f t="shared" si="112"/>
        <v>1.4</v>
      </c>
      <c r="CK23" s="1">
        <f t="shared" si="124"/>
        <v>0</v>
      </c>
      <c r="CL23" s="1">
        <f t="shared" si="125"/>
        <v>0</v>
      </c>
      <c r="CM23" s="1">
        <f t="shared" si="126"/>
        <v>21.1</v>
      </c>
      <c r="CN23" s="1">
        <f>IF(ISNA(VLOOKUP($CZ23,'Audit Values'!$A$2:$AE$439,2,FALSE)),'Preliminary SO66'!T20,VLOOKUP($CZ23,'Audit Values'!$A$2:$AE$439,20,FALSE))</f>
        <v>0</v>
      </c>
      <c r="CO23" s="1">
        <f t="shared" si="127"/>
        <v>0</v>
      </c>
      <c r="CP23" s="183">
        <v>0</v>
      </c>
      <c r="CQ23" s="1">
        <f t="shared" si="128"/>
        <v>0</v>
      </c>
      <c r="CR23" s="2">
        <f>IF(ISNA(VLOOKUP($CZ23,'Audit Values'!$A$2:$AE$439,2,FALSE)),'Preliminary SO66'!V20,VLOOKUP($CZ23,'Audit Values'!$A$2:$AE$439,22,FALSE))</f>
        <v>0</v>
      </c>
      <c r="CS23" s="1">
        <f t="shared" si="129"/>
        <v>0</v>
      </c>
      <c r="CT23" s="2">
        <f>IF(ISNA(VLOOKUP($CZ23,'Audit Values'!$A$2:$AE$439,2,FALSE)),'Preliminary SO66'!W20,VLOOKUP($CZ23,'Audit Values'!$A$2:$AE$439,23,FALSE))</f>
        <v>0</v>
      </c>
      <c r="CU23" s="1">
        <f t="shared" si="113"/>
        <v>0</v>
      </c>
      <c r="CV23" s="1">
        <f t="shared" si="114"/>
        <v>0</v>
      </c>
      <c r="CW23" s="176">
        <v>0</v>
      </c>
      <c r="CX23" s="2">
        <f>IF(CW23&gt;0,Weightings!$M$11*AR23,0)</f>
        <v>0</v>
      </c>
      <c r="CY23" s="2">
        <f t="shared" si="130"/>
        <v>0</v>
      </c>
      <c r="CZ23" s="108" t="s">
        <v>315</v>
      </c>
    </row>
    <row r="24" spans="1:104">
      <c r="A24" s="82">
        <v>206</v>
      </c>
      <c r="B24" s="4" t="s">
        <v>12</v>
      </c>
      <c r="C24" s="4" t="s">
        <v>651</v>
      </c>
      <c r="D24" s="1">
        <v>487</v>
      </c>
      <c r="E24" s="1">
        <v>0</v>
      </c>
      <c r="F24" s="1">
        <f t="shared" si="135"/>
        <v>487</v>
      </c>
      <c r="G24" s="1">
        <v>491.1</v>
      </c>
      <c r="H24" s="1">
        <v>0</v>
      </c>
      <c r="I24" s="1">
        <f t="shared" si="116"/>
        <v>491.1</v>
      </c>
      <c r="J24" s="1">
        <f t="shared" si="79"/>
        <v>508.7</v>
      </c>
      <c r="K24" s="1">
        <f>IF(ISNA(VLOOKUP($CZ24,'Audit Values'!$A$2:$AE$439,2,FALSE)),'Preliminary SO66'!B21,VLOOKUP($CZ24,'Audit Values'!$A$2:$AE$439,31,FALSE))</f>
        <v>490.1</v>
      </c>
      <c r="L24" s="1">
        <f t="shared" si="80"/>
        <v>491.1</v>
      </c>
      <c r="M24" s="1">
        <f>IF(ISNA(VLOOKUP($CZ24,'Audit Values'!$A$2:$AE$439,2,FALSE)),'Preliminary SO66'!Z21,VLOOKUP($CZ24,'Audit Values'!$A$2:$AE$439,26,FALSE))</f>
        <v>0</v>
      </c>
      <c r="N24" s="1">
        <f t="shared" si="81"/>
        <v>491.1</v>
      </c>
      <c r="O24" s="1">
        <f>IF(ISNA(VLOOKUP($CZ24,'Audit Values'!$A$2:$AE$439,2,FALSE)),'Preliminary SO66'!C21,IF(VLOOKUP($CZ24,'Audit Values'!$A$2:$AE$439,28,FALSE)="",VLOOKUP($CZ24,'Audit Values'!$A$2:$AE$439,3,FALSE),VLOOKUP($CZ24,'Audit Values'!$A$2:$AE$439,28,FALSE)))</f>
        <v>5</v>
      </c>
      <c r="P24" s="109">
        <f t="shared" si="82"/>
        <v>495.1</v>
      </c>
      <c r="Q24" s="110">
        <f t="shared" si="83"/>
        <v>513.70000000000005</v>
      </c>
      <c r="R24" s="111">
        <f t="shared" si="84"/>
        <v>513.70000000000005</v>
      </c>
      <c r="S24" s="1">
        <f t="shared" si="85"/>
        <v>496.1</v>
      </c>
      <c r="T24" s="1">
        <f t="shared" si="133"/>
        <v>18.600000000000001</v>
      </c>
      <c r="U24" s="1">
        <f t="shared" si="87"/>
        <v>207.2</v>
      </c>
      <c r="V24" s="1">
        <f t="shared" si="88"/>
        <v>207.2</v>
      </c>
      <c r="W24" s="1">
        <f t="shared" si="89"/>
        <v>0</v>
      </c>
      <c r="X24" s="1">
        <f>IF(ISNA(VLOOKUP($CZ24,'Audit Values'!$A$2:$AE$439,2,FALSE)),'Preliminary SO66'!D21,VLOOKUP($CZ24,'Audit Values'!$A$2:$AE$439,4,FALSE))</f>
        <v>52.6</v>
      </c>
      <c r="Y24" s="1">
        <f>ROUND((X24/6)*Weightings!$M$6,1)</f>
        <v>4.4000000000000004</v>
      </c>
      <c r="Z24" s="1">
        <f>IF(ISNA(VLOOKUP($CZ24,'Audit Values'!$A$2:$AE$439,2,FALSE)),'Preliminary SO66'!F21,VLOOKUP($CZ24,'Audit Values'!$A$2:$AE$439,6,FALSE))</f>
        <v>94.7</v>
      </c>
      <c r="AA24" s="1">
        <f>ROUND((Z24/6)*Weightings!$M$7,1)</f>
        <v>6.2</v>
      </c>
      <c r="AB24" s="2">
        <f>IF(ISNA(VLOOKUP($CZ24,'Audit Values'!$A$2:$AE$439,2,FALSE)),'Preliminary SO66'!H21,VLOOKUP($CZ24,'Audit Values'!$A$2:$AE$439,8,FALSE))</f>
        <v>154</v>
      </c>
      <c r="AC24" s="1">
        <f>ROUND(AB24*Weightings!$M$8,1)</f>
        <v>70.2</v>
      </c>
      <c r="AD24" s="1">
        <f t="shared" si="117"/>
        <v>0</v>
      </c>
      <c r="AE24" s="185">
        <v>32</v>
      </c>
      <c r="AF24" s="1">
        <f>AE24*Weightings!$M$9</f>
        <v>1.5</v>
      </c>
      <c r="AG24" s="1">
        <f>IF(ISNA(VLOOKUP($CZ24,'Audit Values'!$A$2:$AE$439,2,FALSE)),'Preliminary SO66'!L21,VLOOKUP($CZ24,'Audit Values'!$A$2:$AE$439,12,FALSE))</f>
        <v>0</v>
      </c>
      <c r="AH24" s="1">
        <f>ROUND(AG24*Weightings!$M$10,1)</f>
        <v>0</v>
      </c>
      <c r="AI24" s="1">
        <f>IF(ISNA(VLOOKUP($CZ24,'Audit Values'!$A$2:$AE$439,2,FALSE)),'Preliminary SO66'!O21,VLOOKUP($CZ24,'Audit Values'!$A$2:$AE$439,15,FALSE))</f>
        <v>370.5</v>
      </c>
      <c r="AJ24" s="1">
        <f t="shared" si="90"/>
        <v>88.7</v>
      </c>
      <c r="AK24" s="1">
        <f>CC24/Weightings!$M$5</f>
        <v>0</v>
      </c>
      <c r="AL24" s="1">
        <f>CD24/Weightings!$M$5</f>
        <v>0</v>
      </c>
      <c r="AM24" s="1">
        <f>CH24/Weightings!$M$5</f>
        <v>0</v>
      </c>
      <c r="AN24" s="1">
        <f t="shared" si="118"/>
        <v>19.5</v>
      </c>
      <c r="AO24" s="1">
        <f>IF(ISNA(VLOOKUP($CZ24,'Audit Values'!$A$2:$AE$439,2,FALSE)),'Preliminary SO66'!X21,VLOOKUP($CZ24,'Audit Values'!$A$2:$AE$439,24,FALSE))</f>
        <v>0</v>
      </c>
      <c r="AP24" s="188">
        <v>643969</v>
      </c>
      <c r="AQ24" s="113">
        <f>AP24/Weightings!$M$5</f>
        <v>167.8</v>
      </c>
      <c r="AR24" s="113">
        <f t="shared" si="91"/>
        <v>893.8</v>
      </c>
      <c r="AS24" s="1">
        <f t="shared" si="92"/>
        <v>1061.5999999999999</v>
      </c>
      <c r="AT24" s="1">
        <f t="shared" si="93"/>
        <v>1061.5999999999999</v>
      </c>
      <c r="AU24" s="2">
        <f t="shared" si="119"/>
        <v>0</v>
      </c>
      <c r="AV24" s="82">
        <f>IF(ISNA(VLOOKUP($CZ24,'Audit Values'!$A$2:$AC$360,2,FALSE)),"",IF(AND(Weightings!H24&gt;0,VLOOKUP($CZ24,'Audit Values'!$A$2:$AC$360,29,FALSE)&lt;Weightings!H24),Weightings!H24,VLOOKUP($CZ24,'Audit Values'!$A$2:$AC$360,29,FALSE)))</f>
        <v>26</v>
      </c>
      <c r="AW24" s="82" t="str">
        <f>IF(ISNA(VLOOKUP($CZ24,'Audit Values'!$A$2:$AD$360,2,FALSE)),"",VLOOKUP($CZ24,'Audit Values'!$A$2:$AD$360,30,FALSE))</f>
        <v>A</v>
      </c>
      <c r="AX24" s="82" t="str">
        <f>IF(Weightings!G24="","",IF(Weightings!I24="Pending","PX","R"))</f>
        <v/>
      </c>
      <c r="AY24" s="114">
        <f>AR24*Weightings!$M$5+AU24</f>
        <v>3430404</v>
      </c>
      <c r="AZ24" s="2">
        <f>AT24*Weightings!$M$5+AU24</f>
        <v>4074421</v>
      </c>
      <c r="BA24" s="2">
        <f>IF(Weightings!G24&gt;0,Weightings!G24,'Preliminary SO66'!AB21)</f>
        <v>4274764</v>
      </c>
      <c r="BB24" s="2">
        <f t="shared" si="94"/>
        <v>4074421</v>
      </c>
      <c r="BC24" s="124"/>
      <c r="BD24" s="124">
        <f>Weightings!E24</f>
        <v>0</v>
      </c>
      <c r="BE24" s="124">
        <f>Weightings!F24</f>
        <v>0</v>
      </c>
      <c r="BF24" s="2">
        <f t="shared" si="95"/>
        <v>0</v>
      </c>
      <c r="BG24" s="2">
        <f t="shared" si="96"/>
        <v>4074421</v>
      </c>
      <c r="BH24" s="2">
        <f>MAX(ROUND(((AR24-AO24)*4433)+AP24,0),ROUND(((AR24-AO24)*4433)+Weightings!B24,0))</f>
        <v>4606184</v>
      </c>
      <c r="BI24" s="174">
        <v>0.3</v>
      </c>
      <c r="BJ24" s="2">
        <f t="shared" si="134"/>
        <v>1381855</v>
      </c>
      <c r="BK24" s="173">
        <v>1375000</v>
      </c>
      <c r="BL24" s="2">
        <f t="shared" si="98"/>
        <v>1375000</v>
      </c>
      <c r="BM24" s="3">
        <f t="shared" si="120"/>
        <v>0.29849999999999999</v>
      </c>
      <c r="BN24" s="1">
        <f t="shared" si="99"/>
        <v>0</v>
      </c>
      <c r="BO24" s="4" t="b">
        <f t="shared" si="100"/>
        <v>0</v>
      </c>
      <c r="BP24" s="5">
        <f t="shared" si="101"/>
        <v>0</v>
      </c>
      <c r="BQ24" s="6">
        <f t="shared" si="102"/>
        <v>0</v>
      </c>
      <c r="BR24" s="4">
        <f t="shared" si="103"/>
        <v>0</v>
      </c>
      <c r="BS24" s="4" t="b">
        <f t="shared" si="104"/>
        <v>1</v>
      </c>
      <c r="BT24" s="4">
        <f t="shared" si="105"/>
        <v>242.6738</v>
      </c>
      <c r="BU24" s="6">
        <f t="shared" si="106"/>
        <v>0.41756199999999999</v>
      </c>
      <c r="BV24" s="1">
        <f t="shared" si="107"/>
        <v>207.2</v>
      </c>
      <c r="BW24" s="1">
        <f t="shared" si="108"/>
        <v>0</v>
      </c>
      <c r="BX24" s="116">
        <v>253</v>
      </c>
      <c r="BY24" s="7">
        <f t="shared" si="121"/>
        <v>1.46</v>
      </c>
      <c r="BZ24" s="7">
        <f>IF(ROUND((Weightings!$P$5*BY24^Weightings!$P$6*Weightings!$P$8 ),2)&lt;Weightings!$P$7,Weightings!$P$7,ROUND((Weightings!$P$5*BY24^Weightings!$P$6*Weightings!$P$8 ),2))</f>
        <v>919.36</v>
      </c>
      <c r="CA24" s="8">
        <f>ROUND(BZ24/Weightings!$M$5,4)</f>
        <v>0.23949999999999999</v>
      </c>
      <c r="CB24" s="1">
        <f t="shared" si="122"/>
        <v>88.7</v>
      </c>
      <c r="CC24" s="173">
        <v>0</v>
      </c>
      <c r="CD24" s="173">
        <v>0</v>
      </c>
      <c r="CE24" s="173">
        <v>0</v>
      </c>
      <c r="CF24" s="177">
        <v>0</v>
      </c>
      <c r="CG24" s="2">
        <f>AS24*Weightings!$M$5*CF24</f>
        <v>0</v>
      </c>
      <c r="CH24" s="2">
        <f t="shared" si="123"/>
        <v>0</v>
      </c>
      <c r="CI24" s="117">
        <f t="shared" si="111"/>
        <v>0.31</v>
      </c>
      <c r="CJ24" s="4">
        <f t="shared" si="112"/>
        <v>2</v>
      </c>
      <c r="CK24" s="1">
        <f t="shared" si="124"/>
        <v>0</v>
      </c>
      <c r="CL24" s="1">
        <f t="shared" si="125"/>
        <v>0</v>
      </c>
      <c r="CM24" s="1">
        <f t="shared" si="126"/>
        <v>0</v>
      </c>
      <c r="CN24" s="1">
        <f>IF(ISNA(VLOOKUP($CZ24,'Audit Values'!$A$2:$AE$439,2,FALSE)),'Preliminary SO66'!T21,VLOOKUP($CZ24,'Audit Values'!$A$2:$AE$439,20,FALSE))</f>
        <v>18.600000000000001</v>
      </c>
      <c r="CO24" s="1">
        <f t="shared" si="127"/>
        <v>19.5</v>
      </c>
      <c r="CP24" s="183">
        <v>0</v>
      </c>
      <c r="CQ24" s="1">
        <f t="shared" si="128"/>
        <v>0</v>
      </c>
      <c r="CR24" s="2">
        <f>IF(ISNA(VLOOKUP($CZ24,'Audit Values'!$A$2:$AE$439,2,FALSE)),'Preliminary SO66'!V21,VLOOKUP($CZ24,'Audit Values'!$A$2:$AE$439,22,FALSE))</f>
        <v>0</v>
      </c>
      <c r="CS24" s="1">
        <f t="shared" si="129"/>
        <v>0</v>
      </c>
      <c r="CT24" s="2">
        <f>IF(ISNA(VLOOKUP($CZ24,'Audit Values'!$A$2:$AE$439,2,FALSE)),'Preliminary SO66'!W21,VLOOKUP($CZ24,'Audit Values'!$A$2:$AE$439,23,FALSE))</f>
        <v>0</v>
      </c>
      <c r="CU24" s="1">
        <f t="shared" si="113"/>
        <v>0</v>
      </c>
      <c r="CV24" s="1">
        <f t="shared" si="114"/>
        <v>19.5</v>
      </c>
      <c r="CW24" s="176">
        <v>0</v>
      </c>
      <c r="CX24" s="2">
        <f>IF(CW24&gt;0,Weightings!$M$11*AR24,0)</f>
        <v>0</v>
      </c>
      <c r="CY24" s="2">
        <f t="shared" si="130"/>
        <v>0</v>
      </c>
      <c r="CZ24" s="108" t="s">
        <v>316</v>
      </c>
    </row>
    <row r="25" spans="1:104">
      <c r="A25" s="82">
        <v>207</v>
      </c>
      <c r="B25" s="4" t="s">
        <v>13</v>
      </c>
      <c r="C25" s="4" t="s">
        <v>652</v>
      </c>
      <c r="D25" s="1">
        <v>1802</v>
      </c>
      <c r="E25" s="1">
        <v>177</v>
      </c>
      <c r="F25" s="1">
        <f t="shared" si="135"/>
        <v>1979</v>
      </c>
      <c r="G25" s="1">
        <v>1791.1</v>
      </c>
      <c r="H25" s="1">
        <v>192.4</v>
      </c>
      <c r="I25" s="1">
        <f t="shared" si="116"/>
        <v>1983.5</v>
      </c>
      <c r="J25" s="1">
        <f t="shared" si="79"/>
        <v>1741.6</v>
      </c>
      <c r="K25" s="1">
        <f>IF(ISNA(VLOOKUP($CZ25,'Audit Values'!$A$2:$AE$439,2,FALSE)),'Preliminary SO66'!B22,VLOOKUP($CZ25,'Audit Values'!$A$2:$AE$439,31,FALSE))</f>
        <v>1741.6</v>
      </c>
      <c r="L25" s="1">
        <f t="shared" si="80"/>
        <v>1983.5</v>
      </c>
      <c r="M25" s="1">
        <f>IF(ISNA(VLOOKUP($CZ25,'Audit Values'!$A$2:$AE$439,2,FALSE)),'Preliminary SO66'!Z22,VLOOKUP($CZ25,'Audit Values'!$A$2:$AE$439,26,FALSE))</f>
        <v>146</v>
      </c>
      <c r="N25" s="1">
        <f t="shared" si="81"/>
        <v>2129.5</v>
      </c>
      <c r="O25" s="1">
        <f>IF(ISNA(VLOOKUP($CZ25,'Audit Values'!$A$2:$AE$439,2,FALSE)),'Preliminary SO66'!C22,IF(VLOOKUP($CZ25,'Audit Values'!$A$2:$AE$439,28,FALSE)="",VLOOKUP($CZ25,'Audit Values'!$A$2:$AE$439,3,FALSE),VLOOKUP($CZ25,'Audit Values'!$A$2:$AE$439,28,FALSE)))</f>
        <v>0</v>
      </c>
      <c r="P25" s="109">
        <f t="shared" si="82"/>
        <v>1741.6</v>
      </c>
      <c r="Q25" s="110">
        <f t="shared" si="83"/>
        <v>1741.6</v>
      </c>
      <c r="R25" s="111">
        <f t="shared" si="84"/>
        <v>1887.6</v>
      </c>
      <c r="S25" s="1">
        <f t="shared" si="85"/>
        <v>2129.5</v>
      </c>
      <c r="T25" s="1">
        <f t="shared" si="133"/>
        <v>0</v>
      </c>
      <c r="U25" s="1">
        <f t="shared" si="87"/>
        <v>74.599999999999994</v>
      </c>
      <c r="V25" s="1">
        <f t="shared" si="88"/>
        <v>0</v>
      </c>
      <c r="W25" s="1">
        <f t="shared" si="89"/>
        <v>74.599999999999994</v>
      </c>
      <c r="X25" s="1">
        <f>IF(ISNA(VLOOKUP($CZ25,'Audit Values'!$A$2:$AE$439,2,FALSE)),'Preliminary SO66'!D22,VLOOKUP($CZ25,'Audit Values'!$A$2:$AE$439,4,FALSE))</f>
        <v>0</v>
      </c>
      <c r="Y25" s="1">
        <f>ROUND((X25/6)*Weightings!$M$6,1)</f>
        <v>0</v>
      </c>
      <c r="Z25" s="1">
        <f>IF(ISNA(VLOOKUP($CZ25,'Audit Values'!$A$2:$AE$439,2,FALSE)),'Preliminary SO66'!F22,VLOOKUP($CZ25,'Audit Values'!$A$2:$AE$439,6,FALSE))</f>
        <v>160.1</v>
      </c>
      <c r="AA25" s="1">
        <f>ROUND((Z25/6)*Weightings!$M$7,1)</f>
        <v>10.5</v>
      </c>
      <c r="AB25" s="2">
        <f>IF(ISNA(VLOOKUP($CZ25,'Audit Values'!$A$2:$AE$439,2,FALSE)),'Preliminary SO66'!H22,VLOOKUP($CZ25,'Audit Values'!$A$2:$AE$439,8,FALSE))</f>
        <v>116</v>
      </c>
      <c r="AC25" s="1">
        <f>ROUND(AB25*Weightings!$M$8,1)</f>
        <v>52.9</v>
      </c>
      <c r="AD25" s="1">
        <f t="shared" si="117"/>
        <v>0</v>
      </c>
      <c r="AE25" s="185">
        <v>142</v>
      </c>
      <c r="AF25" s="1">
        <f>AE25*Weightings!$M$9</f>
        <v>6.6</v>
      </c>
      <c r="AG25" s="1">
        <f>IF(ISNA(VLOOKUP($CZ25,'Audit Values'!$A$2:$AE$439,2,FALSE)),'Preliminary SO66'!L22,VLOOKUP($CZ25,'Audit Values'!$A$2:$AE$439,12,FALSE))</f>
        <v>0</v>
      </c>
      <c r="AH25" s="1">
        <f>ROUND(AG25*Weightings!$M$10,1)</f>
        <v>0</v>
      </c>
      <c r="AI25" s="1">
        <f>IF(ISNA(VLOOKUP($CZ25,'Audit Values'!$A$2:$AE$439,2,FALSE)),'Preliminary SO66'!O22,VLOOKUP($CZ25,'Audit Values'!$A$2:$AE$439,15,FALSE))</f>
        <v>143</v>
      </c>
      <c r="AJ25" s="1">
        <f t="shared" si="90"/>
        <v>21.8</v>
      </c>
      <c r="AK25" s="1">
        <f>CC25/Weightings!$M$5</f>
        <v>0</v>
      </c>
      <c r="AL25" s="1">
        <f>CD25/Weightings!$M$5</f>
        <v>0</v>
      </c>
      <c r="AM25" s="1">
        <f>CH25/Weightings!$M$5</f>
        <v>0</v>
      </c>
      <c r="AN25" s="1">
        <f t="shared" si="118"/>
        <v>0</v>
      </c>
      <c r="AO25" s="1">
        <f>IF(ISNA(VLOOKUP($CZ25,'Audit Values'!$A$2:$AE$439,2,FALSE)),'Preliminary SO66'!X22,VLOOKUP($CZ25,'Audit Values'!$A$2:$AE$439,24,FALSE))</f>
        <v>0</v>
      </c>
      <c r="AP25" s="188">
        <v>1533808</v>
      </c>
      <c r="AQ25" s="113">
        <f>AP25/Weightings!$M$5</f>
        <v>399.6</v>
      </c>
      <c r="AR25" s="113">
        <f t="shared" si="91"/>
        <v>2295.9</v>
      </c>
      <c r="AS25" s="1">
        <f t="shared" si="92"/>
        <v>2695.5</v>
      </c>
      <c r="AT25" s="1">
        <f t="shared" si="93"/>
        <v>2695.5</v>
      </c>
      <c r="AU25" s="2">
        <f t="shared" si="119"/>
        <v>0</v>
      </c>
      <c r="AV25" s="142">
        <f>IF(ISNA(VLOOKUP($CZ25,'Audit Values'!$A$2:$AC$360,2,FALSE)),"",IF(AND(Weightings!H25&gt;0,VLOOKUP($CZ25,'Audit Values'!$A$2:$AC$360,29,FALSE)&lt;Weightings!H25),Weightings!H25,VLOOKUP($CZ25,'Audit Values'!$A$2:$AC$360,29,FALSE)))</f>
        <v>28</v>
      </c>
      <c r="AW25" s="142" t="str">
        <f>IF(ISNA(VLOOKUP($CZ25,'Audit Values'!$A$2:$AD$360,2,FALSE)),"",VLOOKUP($CZ25,'Audit Values'!$A$2:$AD$360,30,FALSE))</f>
        <v>AM</v>
      </c>
      <c r="AX25" s="159" t="str">
        <f>IF(Weightings!G25="","",IF(Weightings!I25="Pending","PX","R"))</f>
        <v/>
      </c>
      <c r="AY25" s="114">
        <f>AR25*Weightings!$M$5+AU25</f>
        <v>8811664</v>
      </c>
      <c r="AZ25" s="2">
        <f>AT25*Weightings!$M$5+AU25</f>
        <v>10345329</v>
      </c>
      <c r="BA25" s="2">
        <f>IF(Weightings!G25&gt;0,Weightings!G25,'Preliminary SO66'!AB22)</f>
        <v>11507475</v>
      </c>
      <c r="BB25" s="2">
        <f t="shared" si="94"/>
        <v>10345329</v>
      </c>
      <c r="BC25" s="124"/>
      <c r="BD25" s="124">
        <f>Weightings!E25</f>
        <v>0</v>
      </c>
      <c r="BE25" s="124">
        <f>Weightings!F25</f>
        <v>0</v>
      </c>
      <c r="BF25" s="2">
        <f t="shared" si="95"/>
        <v>0</v>
      </c>
      <c r="BG25" s="2">
        <f t="shared" si="96"/>
        <v>10345329</v>
      </c>
      <c r="BH25" s="2">
        <f>MAX(ROUND(((AR25-AO25)*4433)+AP25,0),ROUND(((AR25-AO25)*4433)+Weightings!B25,0))</f>
        <v>11711533</v>
      </c>
      <c r="BI25" s="174">
        <v>0.3</v>
      </c>
      <c r="BJ25" s="2">
        <f t="shared" si="134"/>
        <v>3513460</v>
      </c>
      <c r="BK25" s="173">
        <v>3914912</v>
      </c>
      <c r="BL25" s="2">
        <f t="shared" si="98"/>
        <v>3513460</v>
      </c>
      <c r="BM25" s="3">
        <f t="shared" si="120"/>
        <v>0.3</v>
      </c>
      <c r="BN25" s="1">
        <f t="shared" si="99"/>
        <v>0</v>
      </c>
      <c r="BO25" s="4" t="b">
        <f t="shared" si="100"/>
        <v>0</v>
      </c>
      <c r="BP25" s="5">
        <f t="shared" si="101"/>
        <v>0</v>
      </c>
      <c r="BQ25" s="6">
        <f t="shared" si="102"/>
        <v>0</v>
      </c>
      <c r="BR25" s="4">
        <f t="shared" si="103"/>
        <v>0</v>
      </c>
      <c r="BS25" s="4" t="b">
        <f t="shared" si="104"/>
        <v>0</v>
      </c>
      <c r="BT25" s="4">
        <f t="shared" si="105"/>
        <v>0</v>
      </c>
      <c r="BU25" s="6">
        <f t="shared" si="106"/>
        <v>0</v>
      </c>
      <c r="BV25" s="1">
        <f t="shared" si="107"/>
        <v>0</v>
      </c>
      <c r="BW25" s="1">
        <f t="shared" si="108"/>
        <v>74.599999999999994</v>
      </c>
      <c r="BX25" s="116">
        <v>8.5</v>
      </c>
      <c r="BY25" s="7">
        <f t="shared" si="121"/>
        <v>16.82</v>
      </c>
      <c r="BZ25" s="7">
        <f>IF(ROUND((Weightings!$P$5*BY25^Weightings!$P$6*Weightings!$P$8 ),2)&lt;Weightings!$P$7,Weightings!$P$7,ROUND((Weightings!$P$5*BY25^Weightings!$P$6*Weightings!$P$8 ),2))</f>
        <v>585</v>
      </c>
      <c r="CA25" s="8">
        <f>ROUND(BZ25/Weightings!$M$5,4)</f>
        <v>0.15240000000000001</v>
      </c>
      <c r="CB25" s="1">
        <f t="shared" si="122"/>
        <v>21.8</v>
      </c>
      <c r="CC25" s="173">
        <v>0</v>
      </c>
      <c r="CD25" s="173">
        <v>0</v>
      </c>
      <c r="CE25" s="173">
        <v>0</v>
      </c>
      <c r="CF25" s="177">
        <v>0</v>
      </c>
      <c r="CG25" s="2">
        <f>AS25*Weightings!$M$5*CF25</f>
        <v>0</v>
      </c>
      <c r="CH25" s="2">
        <f t="shared" si="123"/>
        <v>0</v>
      </c>
      <c r="CI25" s="117">
        <f t="shared" si="111"/>
        <v>5.3999999999999999E-2</v>
      </c>
      <c r="CJ25" s="4">
        <f t="shared" si="112"/>
        <v>250.5</v>
      </c>
      <c r="CK25" s="1">
        <f t="shared" si="124"/>
        <v>0</v>
      </c>
      <c r="CL25" s="1">
        <f t="shared" si="125"/>
        <v>0</v>
      </c>
      <c r="CM25" s="1">
        <f t="shared" si="126"/>
        <v>0</v>
      </c>
      <c r="CN25" s="1">
        <f>IF(ISNA(VLOOKUP($CZ25,'Audit Values'!$A$2:$AE$439,2,FALSE)),'Preliminary SO66'!T22,VLOOKUP($CZ25,'Audit Values'!$A$2:$AE$439,20,FALSE))</f>
        <v>0</v>
      </c>
      <c r="CO25" s="1">
        <f t="shared" si="127"/>
        <v>0</v>
      </c>
      <c r="CP25" s="183">
        <v>0</v>
      </c>
      <c r="CQ25" s="1">
        <f t="shared" si="128"/>
        <v>0</v>
      </c>
      <c r="CR25" s="2">
        <f>IF(ISNA(VLOOKUP($CZ25,'Audit Values'!$A$2:$AE$439,2,FALSE)),'Preliminary SO66'!V22,VLOOKUP($CZ25,'Audit Values'!$A$2:$AE$439,22,FALSE))</f>
        <v>0</v>
      </c>
      <c r="CS25" s="1">
        <f t="shared" si="129"/>
        <v>0</v>
      </c>
      <c r="CT25" s="2">
        <f>IF(ISNA(VLOOKUP($CZ25,'Audit Values'!$A$2:$AE$439,2,FALSE)),'Preliminary SO66'!W22,VLOOKUP($CZ25,'Audit Values'!$A$2:$AE$439,23,FALSE))</f>
        <v>0</v>
      </c>
      <c r="CU25" s="1">
        <f t="shared" si="113"/>
        <v>0</v>
      </c>
      <c r="CV25" s="1">
        <f t="shared" si="114"/>
        <v>0</v>
      </c>
      <c r="CW25" s="176">
        <v>0</v>
      </c>
      <c r="CX25" s="2">
        <f>IF(CW25&gt;0,Weightings!$M$11*AR25,0)</f>
        <v>0</v>
      </c>
      <c r="CY25" s="2">
        <f t="shared" si="130"/>
        <v>0</v>
      </c>
      <c r="CZ25" s="108" t="s">
        <v>317</v>
      </c>
    </row>
    <row r="26" spans="1:104">
      <c r="A26" s="82">
        <v>208</v>
      </c>
      <c r="B26" s="4" t="s">
        <v>14</v>
      </c>
      <c r="C26" s="4" t="s">
        <v>653</v>
      </c>
      <c r="D26" s="1">
        <v>365.3</v>
      </c>
      <c r="E26" s="1">
        <v>0</v>
      </c>
      <c r="F26" s="1">
        <f t="shared" si="135"/>
        <v>365.3</v>
      </c>
      <c r="G26" s="1">
        <v>359.3</v>
      </c>
      <c r="H26" s="1">
        <v>0</v>
      </c>
      <c r="I26" s="1">
        <f t="shared" si="116"/>
        <v>359.3</v>
      </c>
      <c r="J26" s="1">
        <f t="shared" si="79"/>
        <v>375</v>
      </c>
      <c r="K26" s="1">
        <f>IF(ISNA(VLOOKUP($CZ26,'Audit Values'!$A$2:$AE$439,2,FALSE)),'Preliminary SO66'!B23,VLOOKUP($CZ26,'Audit Values'!$A$2:$AE$439,31,FALSE))</f>
        <v>375</v>
      </c>
      <c r="L26" s="1">
        <f t="shared" si="80"/>
        <v>375</v>
      </c>
      <c r="M26" s="1">
        <f>IF(ISNA(VLOOKUP($CZ26,'Audit Values'!$A$2:$AE$439,2,FALSE)),'Preliminary SO66'!Z23,VLOOKUP($CZ26,'Audit Values'!$A$2:$AE$439,26,FALSE))</f>
        <v>0</v>
      </c>
      <c r="N26" s="1">
        <f t="shared" si="81"/>
        <v>375</v>
      </c>
      <c r="O26" s="1">
        <f>IF(ISNA(VLOOKUP($CZ26,'Audit Values'!$A$2:$AE$439,2,FALSE)),'Preliminary SO66'!C23,IF(VLOOKUP($CZ26,'Audit Values'!$A$2:$AE$439,28,FALSE)="",VLOOKUP($CZ26,'Audit Values'!$A$2:$AE$439,3,FALSE),VLOOKUP($CZ26,'Audit Values'!$A$2:$AE$439,28,FALSE)))</f>
        <v>0</v>
      </c>
      <c r="P26" s="109">
        <f t="shared" si="82"/>
        <v>375</v>
      </c>
      <c r="Q26" s="110">
        <f t="shared" si="83"/>
        <v>375</v>
      </c>
      <c r="R26" s="111">
        <f t="shared" si="84"/>
        <v>375</v>
      </c>
      <c r="S26" s="1">
        <f t="shared" si="85"/>
        <v>375</v>
      </c>
      <c r="T26" s="1">
        <f t="shared" si="133"/>
        <v>0</v>
      </c>
      <c r="U26" s="1">
        <f t="shared" si="87"/>
        <v>172</v>
      </c>
      <c r="V26" s="1">
        <f t="shared" si="88"/>
        <v>172</v>
      </c>
      <c r="W26" s="1">
        <f t="shared" si="89"/>
        <v>0</v>
      </c>
      <c r="X26" s="1">
        <f>IF(ISNA(VLOOKUP($CZ26,'Audit Values'!$A$2:$AE$439,2,FALSE)),'Preliminary SO66'!D23,VLOOKUP($CZ26,'Audit Values'!$A$2:$AE$439,4,FALSE))</f>
        <v>53.1</v>
      </c>
      <c r="Y26" s="1">
        <f>ROUND((X26/6)*Weightings!$M$6,1)</f>
        <v>4.4000000000000004</v>
      </c>
      <c r="Z26" s="1">
        <f>IF(ISNA(VLOOKUP($CZ26,'Audit Values'!$A$2:$AE$439,2,FALSE)),'Preliminary SO66'!F23,VLOOKUP($CZ26,'Audit Values'!$A$2:$AE$439,6,FALSE))</f>
        <v>0</v>
      </c>
      <c r="AA26" s="1">
        <f>ROUND((Z26/6)*Weightings!$M$7,1)</f>
        <v>0</v>
      </c>
      <c r="AB26" s="2">
        <f>IF(ISNA(VLOOKUP($CZ26,'Audit Values'!$A$2:$AE$439,2,FALSE)),'Preliminary SO66'!H23,VLOOKUP($CZ26,'Audit Values'!$A$2:$AE$439,8,FALSE))</f>
        <v>71</v>
      </c>
      <c r="AC26" s="1">
        <f>ROUND(AB26*Weightings!$M$8,1)</f>
        <v>32.4</v>
      </c>
      <c r="AD26" s="1">
        <f t="shared" si="117"/>
        <v>0</v>
      </c>
      <c r="AE26" s="185">
        <v>36</v>
      </c>
      <c r="AF26" s="1">
        <f>AE26*Weightings!$M$9</f>
        <v>1.7</v>
      </c>
      <c r="AG26" s="1">
        <f>IF(ISNA(VLOOKUP($CZ26,'Audit Values'!$A$2:$AE$439,2,FALSE)),'Preliminary SO66'!L23,VLOOKUP($CZ26,'Audit Values'!$A$2:$AE$439,12,FALSE))</f>
        <v>0</v>
      </c>
      <c r="AH26" s="1">
        <f>ROUND(AG26*Weightings!$M$10,1)</f>
        <v>0</v>
      </c>
      <c r="AI26" s="1">
        <f>IF(ISNA(VLOOKUP($CZ26,'Audit Values'!$A$2:$AE$439,2,FALSE)),'Preliminary SO66'!O23,VLOOKUP($CZ26,'Audit Values'!$A$2:$AE$439,15,FALSE))</f>
        <v>86</v>
      </c>
      <c r="AJ26" s="1">
        <f t="shared" si="90"/>
        <v>36.4</v>
      </c>
      <c r="AK26" s="1">
        <f>CC26/Weightings!$M$5</f>
        <v>0</v>
      </c>
      <c r="AL26" s="1">
        <f>CD26/Weightings!$M$5</f>
        <v>0</v>
      </c>
      <c r="AM26" s="1">
        <f>CH26/Weightings!$M$5</f>
        <v>0</v>
      </c>
      <c r="AN26" s="1">
        <f t="shared" si="118"/>
        <v>0</v>
      </c>
      <c r="AO26" s="1">
        <f>IF(ISNA(VLOOKUP($CZ26,'Audit Values'!$A$2:$AE$439,2,FALSE)),'Preliminary SO66'!X23,VLOOKUP($CZ26,'Audit Values'!$A$2:$AE$439,24,FALSE))</f>
        <v>0</v>
      </c>
      <c r="AP26" s="188">
        <v>331200</v>
      </c>
      <c r="AQ26" s="113">
        <f>AP26/Weightings!$M$5</f>
        <v>86.3</v>
      </c>
      <c r="AR26" s="113">
        <f t="shared" si="91"/>
        <v>621.9</v>
      </c>
      <c r="AS26" s="1">
        <f t="shared" si="92"/>
        <v>708.2</v>
      </c>
      <c r="AT26" s="1">
        <f t="shared" si="93"/>
        <v>708.2</v>
      </c>
      <c r="AU26" s="2">
        <f t="shared" si="119"/>
        <v>0</v>
      </c>
      <c r="AV26" s="82">
        <f>IF(ISNA(VLOOKUP($CZ26,'Audit Values'!$A$2:$AC$360,2,FALSE)),"",IF(AND(Weightings!H26&gt;0,VLOOKUP($CZ26,'Audit Values'!$A$2:$AC$360,29,FALSE)&lt;Weightings!H26),Weightings!H26,VLOOKUP($CZ26,'Audit Values'!$A$2:$AC$360,29,FALSE)))</f>
        <v>2</v>
      </c>
      <c r="AW26" s="82" t="str">
        <f>IF(ISNA(VLOOKUP($CZ26,'Audit Values'!$A$2:$AD$360,2,FALSE)),"",VLOOKUP($CZ26,'Audit Values'!$A$2:$AD$360,30,FALSE))</f>
        <v>A</v>
      </c>
      <c r="AX26" s="82" t="str">
        <f>IF(Weightings!G26="","",IF(Weightings!I26="Pending","PX","R"))</f>
        <v/>
      </c>
      <c r="AY26" s="114">
        <f>AR26*Weightings!$M$5+AU26</f>
        <v>2386852</v>
      </c>
      <c r="AZ26" s="2">
        <f>AT26*Weightings!$M$5+AU26</f>
        <v>2718072</v>
      </c>
      <c r="BA26" s="2">
        <f>IF(Weightings!G26&gt;0,Weightings!G26,'Preliminary SO66'!AB23)</f>
        <v>2777561</v>
      </c>
      <c r="BB26" s="2">
        <f t="shared" si="94"/>
        <v>2718072</v>
      </c>
      <c r="BC26" s="124"/>
      <c r="BD26" s="124">
        <f>Weightings!E26</f>
        <v>-3217</v>
      </c>
      <c r="BE26" s="124">
        <f>Weightings!F26</f>
        <v>0</v>
      </c>
      <c r="BF26" s="2">
        <f t="shared" si="95"/>
        <v>-3217</v>
      </c>
      <c r="BG26" s="2">
        <f t="shared" si="96"/>
        <v>2714855</v>
      </c>
      <c r="BH26" s="2">
        <f>MAX(ROUND(((AR26-AO26)*4433)+AP26,0),ROUND(((AR26-AO26)*4433)+Weightings!B26,0))</f>
        <v>3266881</v>
      </c>
      <c r="BI26" s="174">
        <v>0.3</v>
      </c>
      <c r="BJ26" s="2">
        <f t="shared" si="134"/>
        <v>980064</v>
      </c>
      <c r="BK26" s="173">
        <v>979399</v>
      </c>
      <c r="BL26" s="2">
        <f t="shared" si="98"/>
        <v>979399</v>
      </c>
      <c r="BM26" s="3">
        <f t="shared" si="120"/>
        <v>0.29980000000000001</v>
      </c>
      <c r="BN26" s="1">
        <f t="shared" si="99"/>
        <v>0</v>
      </c>
      <c r="BO26" s="4" t="b">
        <f t="shared" si="100"/>
        <v>0</v>
      </c>
      <c r="BP26" s="5">
        <f t="shared" si="101"/>
        <v>0</v>
      </c>
      <c r="BQ26" s="6">
        <f t="shared" si="102"/>
        <v>0</v>
      </c>
      <c r="BR26" s="4">
        <f t="shared" si="103"/>
        <v>0</v>
      </c>
      <c r="BS26" s="4" t="b">
        <f t="shared" si="104"/>
        <v>1</v>
      </c>
      <c r="BT26" s="4">
        <f t="shared" si="105"/>
        <v>92.8125</v>
      </c>
      <c r="BU26" s="6">
        <f t="shared" si="106"/>
        <v>0.45870499999999997</v>
      </c>
      <c r="BV26" s="1">
        <f t="shared" si="107"/>
        <v>172</v>
      </c>
      <c r="BW26" s="1">
        <f t="shared" si="108"/>
        <v>0</v>
      </c>
      <c r="BX26" s="116">
        <v>706.7</v>
      </c>
      <c r="BY26" s="7">
        <f t="shared" si="121"/>
        <v>0.12</v>
      </c>
      <c r="BZ26" s="7">
        <f>IF(ROUND((Weightings!$P$5*BY26^Weightings!$P$6*Weightings!$P$8 ),2)&lt;Weightings!$P$7,Weightings!$P$7,ROUND((Weightings!$P$5*BY26^Weightings!$P$6*Weightings!$P$8 ),2))</f>
        <v>1625.6</v>
      </c>
      <c r="CA26" s="8">
        <f>ROUND(BZ26/Weightings!$M$5,4)</f>
        <v>0.42359999999999998</v>
      </c>
      <c r="CB26" s="1">
        <f t="shared" si="122"/>
        <v>36.4</v>
      </c>
      <c r="CC26" s="173">
        <v>0</v>
      </c>
      <c r="CD26" s="173">
        <v>0</v>
      </c>
      <c r="CE26" s="173">
        <v>0</v>
      </c>
      <c r="CF26" s="177">
        <v>0</v>
      </c>
      <c r="CG26" s="2">
        <f>AS26*Weightings!$M$5*CF26</f>
        <v>0</v>
      </c>
      <c r="CH26" s="2">
        <f t="shared" si="123"/>
        <v>0</v>
      </c>
      <c r="CI26" s="117">
        <f t="shared" si="111"/>
        <v>0.189</v>
      </c>
      <c r="CJ26" s="4">
        <f t="shared" si="112"/>
        <v>0.5</v>
      </c>
      <c r="CK26" s="1">
        <f t="shared" si="124"/>
        <v>0</v>
      </c>
      <c r="CL26" s="1">
        <f t="shared" si="125"/>
        <v>0</v>
      </c>
      <c r="CM26" s="1">
        <f t="shared" si="126"/>
        <v>0</v>
      </c>
      <c r="CN26" s="1">
        <f>IF(ISNA(VLOOKUP($CZ26,'Audit Values'!$A$2:$AE$439,2,FALSE)),'Preliminary SO66'!T23,VLOOKUP($CZ26,'Audit Values'!$A$2:$AE$439,20,FALSE))</f>
        <v>0</v>
      </c>
      <c r="CO26" s="1">
        <f t="shared" si="127"/>
        <v>0</v>
      </c>
      <c r="CP26" s="183">
        <v>0</v>
      </c>
      <c r="CQ26" s="1">
        <f t="shared" si="128"/>
        <v>0</v>
      </c>
      <c r="CR26" s="2">
        <f>IF(ISNA(VLOOKUP($CZ26,'Audit Values'!$A$2:$AE$439,2,FALSE)),'Preliminary SO66'!V23,VLOOKUP($CZ26,'Audit Values'!$A$2:$AE$439,22,FALSE))</f>
        <v>0</v>
      </c>
      <c r="CS26" s="1">
        <f t="shared" si="129"/>
        <v>0</v>
      </c>
      <c r="CT26" s="2">
        <f>IF(ISNA(VLOOKUP($CZ26,'Audit Values'!$A$2:$AE$439,2,FALSE)),'Preliminary SO66'!W23,VLOOKUP($CZ26,'Audit Values'!$A$2:$AE$439,23,FALSE))</f>
        <v>0</v>
      </c>
      <c r="CU26" s="1">
        <f t="shared" si="113"/>
        <v>0</v>
      </c>
      <c r="CV26" s="1">
        <f t="shared" si="114"/>
        <v>0</v>
      </c>
      <c r="CW26" s="176">
        <v>0</v>
      </c>
      <c r="CX26" s="2">
        <f>IF(CW26&gt;0,Weightings!$M$11*AR26,0)</f>
        <v>0</v>
      </c>
      <c r="CY26" s="2">
        <f t="shared" si="130"/>
        <v>0</v>
      </c>
      <c r="CZ26" s="108" t="s">
        <v>318</v>
      </c>
    </row>
    <row r="27" spans="1:104">
      <c r="A27" s="82">
        <v>209</v>
      </c>
      <c r="B27" s="4" t="s">
        <v>15</v>
      </c>
      <c r="C27" s="4" t="s">
        <v>654</v>
      </c>
      <c r="D27" s="1">
        <v>176.6</v>
      </c>
      <c r="E27" s="1">
        <v>0</v>
      </c>
      <c r="F27" s="1">
        <f t="shared" si="135"/>
        <v>176.6</v>
      </c>
      <c r="G27" s="1">
        <v>159.30000000000001</v>
      </c>
      <c r="H27" s="1">
        <v>0</v>
      </c>
      <c r="I27" s="1">
        <f t="shared" si="116"/>
        <v>159.30000000000001</v>
      </c>
      <c r="J27" s="1">
        <f t="shared" si="79"/>
        <v>184.9</v>
      </c>
      <c r="K27" s="1">
        <f>IF(ISNA(VLOOKUP($CZ27,'Audit Values'!$A$2:$AE$439,2,FALSE)),'Preliminary SO66'!B24,VLOOKUP($CZ27,'Audit Values'!$A$2:$AE$439,31,FALSE))</f>
        <v>184.9</v>
      </c>
      <c r="L27" s="1">
        <f t="shared" si="80"/>
        <v>184.9</v>
      </c>
      <c r="M27" s="1">
        <f>IF(ISNA(VLOOKUP($CZ27,'Audit Values'!$A$2:$AE$439,2,FALSE)),'Preliminary SO66'!Z24,VLOOKUP($CZ27,'Audit Values'!$A$2:$AE$439,26,FALSE))</f>
        <v>0</v>
      </c>
      <c r="N27" s="1">
        <f t="shared" si="81"/>
        <v>184.9</v>
      </c>
      <c r="O27" s="1">
        <f>IF(ISNA(VLOOKUP($CZ27,'Audit Values'!$A$2:$AE$439,2,FALSE)),'Preliminary SO66'!C24,IF(VLOOKUP($CZ27,'Audit Values'!$A$2:$AE$439,28,FALSE)="",VLOOKUP($CZ27,'Audit Values'!$A$2:$AE$439,3,FALSE),VLOOKUP($CZ27,'Audit Values'!$A$2:$AE$439,28,FALSE)))</f>
        <v>4.5</v>
      </c>
      <c r="P27" s="109">
        <f t="shared" si="82"/>
        <v>189.4</v>
      </c>
      <c r="Q27" s="110">
        <f t="shared" si="83"/>
        <v>189.4</v>
      </c>
      <c r="R27" s="111">
        <f t="shared" si="84"/>
        <v>189.4</v>
      </c>
      <c r="S27" s="1">
        <f t="shared" si="85"/>
        <v>189.4</v>
      </c>
      <c r="T27" s="1">
        <f t="shared" si="133"/>
        <v>0</v>
      </c>
      <c r="U27" s="1">
        <f t="shared" si="87"/>
        <v>147.19999999999999</v>
      </c>
      <c r="V27" s="1">
        <f t="shared" si="88"/>
        <v>147.19999999999999</v>
      </c>
      <c r="W27" s="1">
        <f t="shared" si="89"/>
        <v>0</v>
      </c>
      <c r="X27" s="1">
        <f>IF(ISNA(VLOOKUP($CZ27,'Audit Values'!$A$2:$AE$439,2,FALSE)),'Preliminary SO66'!D24,VLOOKUP($CZ27,'Audit Values'!$A$2:$AE$439,4,FALSE))</f>
        <v>0</v>
      </c>
      <c r="Y27" s="1">
        <f>ROUND((X27/6)*Weightings!$M$6,1)</f>
        <v>0</v>
      </c>
      <c r="Z27" s="1">
        <f>IF(ISNA(VLOOKUP($CZ27,'Audit Values'!$A$2:$AE$439,2,FALSE)),'Preliminary SO66'!F24,VLOOKUP($CZ27,'Audit Values'!$A$2:$AE$439,6,FALSE))</f>
        <v>333.2</v>
      </c>
      <c r="AA27" s="1">
        <f>ROUND((Z27/6)*Weightings!$M$7,1)</f>
        <v>21.9</v>
      </c>
      <c r="AB27" s="2">
        <f>IF(ISNA(VLOOKUP($CZ27,'Audit Values'!$A$2:$AE$439,2,FALSE)),'Preliminary SO66'!H24,VLOOKUP($CZ27,'Audit Values'!$A$2:$AE$439,8,FALSE))</f>
        <v>102</v>
      </c>
      <c r="AC27" s="1">
        <f>ROUND(AB27*Weightings!$M$8,1)</f>
        <v>46.5</v>
      </c>
      <c r="AD27" s="1">
        <f t="shared" si="117"/>
        <v>10.7</v>
      </c>
      <c r="AE27" s="185">
        <v>14</v>
      </c>
      <c r="AF27" s="1">
        <f>AE27*Weightings!$M$9</f>
        <v>0.7</v>
      </c>
      <c r="AG27" s="1">
        <f>IF(ISNA(VLOOKUP($CZ27,'Audit Values'!$A$2:$AE$439,2,FALSE)),'Preliminary SO66'!L24,VLOOKUP($CZ27,'Audit Values'!$A$2:$AE$439,12,FALSE))</f>
        <v>0</v>
      </c>
      <c r="AH27" s="1">
        <f>ROUND(AG27*Weightings!$M$10,1)</f>
        <v>0</v>
      </c>
      <c r="AI27" s="1">
        <f>IF(ISNA(VLOOKUP($CZ27,'Audit Values'!$A$2:$AE$439,2,FALSE)),'Preliminary SO66'!O24,VLOOKUP($CZ27,'Audit Values'!$A$2:$AE$439,15,FALSE))</f>
        <v>46</v>
      </c>
      <c r="AJ27" s="1">
        <f t="shared" si="90"/>
        <v>17.100000000000001</v>
      </c>
      <c r="AK27" s="1">
        <f>CC27/Weightings!$M$5</f>
        <v>0</v>
      </c>
      <c r="AL27" s="1">
        <f>CD27/Weightings!$M$5</f>
        <v>0</v>
      </c>
      <c r="AM27" s="1">
        <f>CH27/Weightings!$M$5</f>
        <v>0</v>
      </c>
      <c r="AN27" s="1">
        <f t="shared" si="118"/>
        <v>0</v>
      </c>
      <c r="AO27" s="1">
        <f>IF(ISNA(VLOOKUP($CZ27,'Audit Values'!$A$2:$AE$439,2,FALSE)),'Preliminary SO66'!X24,VLOOKUP($CZ27,'Audit Values'!$A$2:$AE$439,24,FALSE))</f>
        <v>0</v>
      </c>
      <c r="AP27" s="188">
        <v>107361</v>
      </c>
      <c r="AQ27" s="113">
        <f>AP27/Weightings!$M$5</f>
        <v>28</v>
      </c>
      <c r="AR27" s="113">
        <f t="shared" si="91"/>
        <v>433.5</v>
      </c>
      <c r="AS27" s="1">
        <f t="shared" si="92"/>
        <v>461.5</v>
      </c>
      <c r="AT27" s="1">
        <f t="shared" si="93"/>
        <v>461.5</v>
      </c>
      <c r="AU27" s="2">
        <f t="shared" si="119"/>
        <v>0</v>
      </c>
      <c r="AV27" s="82">
        <f>IF(ISNA(VLOOKUP($CZ27,'Audit Values'!$A$2:$AC$360,2,FALSE)),"",IF(AND(Weightings!H27&gt;0,VLOOKUP($CZ27,'Audit Values'!$A$2:$AC$360,29,FALSE)&lt;Weightings!H27),Weightings!H27,VLOOKUP($CZ27,'Audit Values'!$A$2:$AC$360,29,FALSE)))</f>
        <v>2</v>
      </c>
      <c r="AW27" s="82" t="str">
        <f>IF(ISNA(VLOOKUP($CZ27,'Audit Values'!$A$2:$AD$360,2,FALSE)),"",VLOOKUP($CZ27,'Audit Values'!$A$2:$AD$360,30,FALSE))</f>
        <v>A</v>
      </c>
      <c r="AX27" s="82" t="str">
        <f>IF(Weightings!G27="","",IF(Weightings!I27="Pending","PX","R"))</f>
        <v>R</v>
      </c>
      <c r="AY27" s="114">
        <f>AR27*Weightings!$M$5+AU27</f>
        <v>1663773</v>
      </c>
      <c r="AZ27" s="2">
        <f>AT27*Weightings!$M$5+AU27</f>
        <v>1771237</v>
      </c>
      <c r="BA27" s="2">
        <f>IF(Weightings!G27&gt;0,Weightings!G27,'Preliminary SO66'!AB24)</f>
        <v>1782367</v>
      </c>
      <c r="BB27" s="2">
        <f t="shared" si="94"/>
        <v>1771237</v>
      </c>
      <c r="BC27" s="124"/>
      <c r="BD27" s="124">
        <f>Weightings!E27</f>
        <v>0</v>
      </c>
      <c r="BE27" s="124">
        <f>Weightings!F27</f>
        <v>0</v>
      </c>
      <c r="BF27" s="2">
        <f t="shared" si="95"/>
        <v>0</v>
      </c>
      <c r="BG27" s="2">
        <f t="shared" si="96"/>
        <v>1771237</v>
      </c>
      <c r="BH27" s="2">
        <f>MAX(ROUND(((AR27-AO27)*4433)+AP27,0),ROUND(((AR27-AO27)*4433)+Weightings!B27,0))</f>
        <v>2059867</v>
      </c>
      <c r="BI27" s="174">
        <v>0.31</v>
      </c>
      <c r="BJ27" s="2">
        <f t="shared" si="134"/>
        <v>638559</v>
      </c>
      <c r="BK27" s="173">
        <v>610112</v>
      </c>
      <c r="BL27" s="2">
        <f t="shared" si="98"/>
        <v>610112</v>
      </c>
      <c r="BM27" s="3">
        <f t="shared" si="120"/>
        <v>0.29620000000000002</v>
      </c>
      <c r="BN27" s="1">
        <f t="shared" si="99"/>
        <v>0</v>
      </c>
      <c r="BO27" s="4" t="b">
        <f t="shared" si="100"/>
        <v>1</v>
      </c>
      <c r="BP27" s="5">
        <f t="shared" si="101"/>
        <v>863.15700000000004</v>
      </c>
      <c r="BQ27" s="6">
        <f t="shared" si="102"/>
        <v>0.77735600000000005</v>
      </c>
      <c r="BR27" s="4">
        <f t="shared" si="103"/>
        <v>147.19999999999999</v>
      </c>
      <c r="BS27" s="4" t="b">
        <f t="shared" si="104"/>
        <v>0</v>
      </c>
      <c r="BT27" s="4">
        <f t="shared" si="105"/>
        <v>0</v>
      </c>
      <c r="BU27" s="6">
        <f t="shared" si="106"/>
        <v>0</v>
      </c>
      <c r="BV27" s="1">
        <f t="shared" si="107"/>
        <v>0</v>
      </c>
      <c r="BW27" s="1">
        <f t="shared" si="108"/>
        <v>0</v>
      </c>
      <c r="BX27" s="116">
        <v>223</v>
      </c>
      <c r="BY27" s="7">
        <f t="shared" si="121"/>
        <v>0.21</v>
      </c>
      <c r="BZ27" s="7">
        <f>IF(ROUND((Weightings!$P$5*BY27^Weightings!$P$6*Weightings!$P$8 ),2)&lt;Weightings!$P$7,Weightings!$P$7,ROUND((Weightings!$P$5*BY27^Weightings!$P$6*Weightings!$P$8 ),2))</f>
        <v>1430.79</v>
      </c>
      <c r="CA27" s="8">
        <f>ROUND(BZ27/Weightings!$M$5,4)</f>
        <v>0.37280000000000002</v>
      </c>
      <c r="CB27" s="1">
        <f t="shared" si="122"/>
        <v>17.100000000000001</v>
      </c>
      <c r="CC27" s="173">
        <v>0</v>
      </c>
      <c r="CD27" s="173">
        <v>0</v>
      </c>
      <c r="CE27" s="173">
        <v>0</v>
      </c>
      <c r="CF27" s="177">
        <v>0</v>
      </c>
      <c r="CG27" s="2">
        <f>AS27*Weightings!$M$5*CF27</f>
        <v>0</v>
      </c>
      <c r="CH27" s="2">
        <f t="shared" si="123"/>
        <v>0</v>
      </c>
      <c r="CI27" s="117">
        <f t="shared" si="111"/>
        <v>0.53900000000000003</v>
      </c>
      <c r="CJ27" s="4">
        <f t="shared" si="112"/>
        <v>0.8</v>
      </c>
      <c r="CK27" s="1">
        <f t="shared" si="124"/>
        <v>10.7</v>
      </c>
      <c r="CL27" s="1">
        <f t="shared" si="125"/>
        <v>0</v>
      </c>
      <c r="CM27" s="1">
        <f t="shared" si="126"/>
        <v>0</v>
      </c>
      <c r="CN27" s="1">
        <f>IF(ISNA(VLOOKUP($CZ27,'Audit Values'!$A$2:$AE$439,2,FALSE)),'Preliminary SO66'!T24,VLOOKUP($CZ27,'Audit Values'!$A$2:$AE$439,20,FALSE))</f>
        <v>0</v>
      </c>
      <c r="CO27" s="1">
        <f t="shared" si="127"/>
        <v>0</v>
      </c>
      <c r="CP27" s="183">
        <v>0</v>
      </c>
      <c r="CQ27" s="1">
        <f t="shared" si="128"/>
        <v>0</v>
      </c>
      <c r="CR27" s="2">
        <f>IF(ISNA(VLOOKUP($CZ27,'Audit Values'!$A$2:$AE$439,2,FALSE)),'Preliminary SO66'!V24,VLOOKUP($CZ27,'Audit Values'!$A$2:$AE$439,22,FALSE))</f>
        <v>0</v>
      </c>
      <c r="CS27" s="1">
        <f t="shared" si="129"/>
        <v>0</v>
      </c>
      <c r="CT27" s="2">
        <f>IF(ISNA(VLOOKUP($CZ27,'Audit Values'!$A$2:$AE$439,2,FALSE)),'Preliminary SO66'!W24,VLOOKUP($CZ27,'Audit Values'!$A$2:$AE$439,23,FALSE))</f>
        <v>0</v>
      </c>
      <c r="CU27" s="1">
        <f t="shared" si="113"/>
        <v>0</v>
      </c>
      <c r="CV27" s="1">
        <f t="shared" si="114"/>
        <v>0</v>
      </c>
      <c r="CW27" s="176">
        <v>0</v>
      </c>
      <c r="CX27" s="2">
        <f>IF(CW27&gt;0,Weightings!$M$11*AR27,0)</f>
        <v>0</v>
      </c>
      <c r="CY27" s="2">
        <f t="shared" si="130"/>
        <v>0</v>
      </c>
      <c r="CZ27" s="108" t="s">
        <v>319</v>
      </c>
    </row>
    <row r="28" spans="1:104">
      <c r="A28" s="82">
        <v>210</v>
      </c>
      <c r="B28" s="4" t="s">
        <v>15</v>
      </c>
      <c r="C28" s="4" t="s">
        <v>655</v>
      </c>
      <c r="D28" s="1">
        <v>1013.2</v>
      </c>
      <c r="E28" s="1">
        <v>0</v>
      </c>
      <c r="F28" s="1">
        <f t="shared" si="135"/>
        <v>1013.2</v>
      </c>
      <c r="G28" s="1">
        <v>1007.5</v>
      </c>
      <c r="H28" s="1">
        <v>0</v>
      </c>
      <c r="I28" s="1">
        <f t="shared" si="116"/>
        <v>1007.5</v>
      </c>
      <c r="J28" s="1">
        <f t="shared" si="79"/>
        <v>1026.5999999999999</v>
      </c>
      <c r="K28" s="1">
        <f>IF(ISNA(VLOOKUP($CZ28,'Audit Values'!$A$2:$AE$439,2,FALSE)),'Preliminary SO66'!B25,VLOOKUP($CZ28,'Audit Values'!$A$2:$AE$439,31,FALSE))</f>
        <v>1020.8</v>
      </c>
      <c r="L28" s="1">
        <f t="shared" si="80"/>
        <v>1020.8</v>
      </c>
      <c r="M28" s="1">
        <f>IF(ISNA(VLOOKUP($CZ28,'Audit Values'!$A$2:$AE$439,2,FALSE)),'Preliminary SO66'!Z25,VLOOKUP($CZ28,'Audit Values'!$A$2:$AE$439,26,FALSE))</f>
        <v>0</v>
      </c>
      <c r="N28" s="1">
        <f t="shared" si="81"/>
        <v>1020.8</v>
      </c>
      <c r="O28" s="1">
        <f>IF(ISNA(VLOOKUP($CZ28,'Audit Values'!$A$2:$AE$439,2,FALSE)),'Preliminary SO66'!C25,IF(VLOOKUP($CZ28,'Audit Values'!$A$2:$AE$439,28,FALSE)="",VLOOKUP($CZ28,'Audit Values'!$A$2:$AE$439,3,FALSE),VLOOKUP($CZ28,'Audit Values'!$A$2:$AE$439,28,FALSE)))</f>
        <v>23.5</v>
      </c>
      <c r="P28" s="109">
        <f t="shared" si="82"/>
        <v>1044.3</v>
      </c>
      <c r="Q28" s="110">
        <f t="shared" si="83"/>
        <v>1050.0999999999999</v>
      </c>
      <c r="R28" s="111">
        <f t="shared" si="84"/>
        <v>1050.0999999999999</v>
      </c>
      <c r="S28" s="1">
        <f t="shared" si="85"/>
        <v>1044.3</v>
      </c>
      <c r="T28" s="1">
        <f t="shared" si="133"/>
        <v>5.8</v>
      </c>
      <c r="U28" s="1">
        <f t="shared" si="87"/>
        <v>241.6</v>
      </c>
      <c r="V28" s="1">
        <f t="shared" si="88"/>
        <v>241.6</v>
      </c>
      <c r="W28" s="1">
        <f t="shared" si="89"/>
        <v>0</v>
      </c>
      <c r="X28" s="1">
        <f>IF(ISNA(VLOOKUP($CZ28,'Audit Values'!$A$2:$AE$439,2,FALSE)),'Preliminary SO66'!D25,VLOOKUP($CZ28,'Audit Values'!$A$2:$AE$439,4,FALSE))</f>
        <v>283.8</v>
      </c>
      <c r="Y28" s="1">
        <f>ROUND((X28/6)*Weightings!$M$6,1)</f>
        <v>23.7</v>
      </c>
      <c r="Z28" s="1">
        <f>IF(ISNA(VLOOKUP($CZ28,'Audit Values'!$A$2:$AE$439,2,FALSE)),'Preliminary SO66'!F25,VLOOKUP($CZ28,'Audit Values'!$A$2:$AE$439,6,FALSE))</f>
        <v>1792.6</v>
      </c>
      <c r="AA28" s="1">
        <f>ROUND((Z28/6)*Weightings!$M$7,1)</f>
        <v>118</v>
      </c>
      <c r="AB28" s="2">
        <f>IF(ISNA(VLOOKUP($CZ28,'Audit Values'!$A$2:$AE$439,2,FALSE)),'Preliminary SO66'!H25,VLOOKUP($CZ28,'Audit Values'!$A$2:$AE$439,8,FALSE))</f>
        <v>512</v>
      </c>
      <c r="AC28" s="1">
        <f>ROUND(AB28*Weightings!$M$8,1)</f>
        <v>233.5</v>
      </c>
      <c r="AD28" s="1">
        <f t="shared" si="117"/>
        <v>50.2</v>
      </c>
      <c r="AE28" s="185">
        <v>144</v>
      </c>
      <c r="AF28" s="1">
        <f>AE28*Weightings!$M$9</f>
        <v>6.7</v>
      </c>
      <c r="AG28" s="1">
        <f>IF(ISNA(VLOOKUP($CZ28,'Audit Values'!$A$2:$AE$439,2,FALSE)),'Preliminary SO66'!L25,VLOOKUP($CZ28,'Audit Values'!$A$2:$AE$439,12,FALSE))</f>
        <v>0</v>
      </c>
      <c r="AH28" s="1">
        <f>ROUND(AG28*Weightings!$M$10,1)</f>
        <v>0</v>
      </c>
      <c r="AI28" s="1">
        <f>IF(ISNA(VLOOKUP($CZ28,'Audit Values'!$A$2:$AE$439,2,FALSE)),'Preliminary SO66'!O25,VLOOKUP($CZ28,'Audit Values'!$A$2:$AE$439,15,FALSE))</f>
        <v>175</v>
      </c>
      <c r="AJ28" s="1">
        <f t="shared" si="90"/>
        <v>60.1</v>
      </c>
      <c r="AK28" s="1">
        <f>CC28/Weightings!$M$5</f>
        <v>0</v>
      </c>
      <c r="AL28" s="1">
        <f>CD28/Weightings!$M$5</f>
        <v>0</v>
      </c>
      <c r="AM28" s="1">
        <f>CH28/Weightings!$M$5</f>
        <v>0</v>
      </c>
      <c r="AN28" s="1">
        <f t="shared" si="118"/>
        <v>6.1</v>
      </c>
      <c r="AO28" s="1">
        <f>IF(ISNA(VLOOKUP($CZ28,'Audit Values'!$A$2:$AE$439,2,FALSE)),'Preliminary SO66'!X25,VLOOKUP($CZ28,'Audit Values'!$A$2:$AE$439,24,FALSE))</f>
        <v>0</v>
      </c>
      <c r="AP28" s="188">
        <v>588031</v>
      </c>
      <c r="AQ28" s="113">
        <f>AP28/Weightings!$M$5</f>
        <v>153.19999999999999</v>
      </c>
      <c r="AR28" s="113">
        <f t="shared" si="91"/>
        <v>1784.2</v>
      </c>
      <c r="AS28" s="1">
        <f t="shared" si="92"/>
        <v>1937.4</v>
      </c>
      <c r="AT28" s="1">
        <f t="shared" si="93"/>
        <v>1937.4</v>
      </c>
      <c r="AU28" s="2">
        <f t="shared" si="119"/>
        <v>0</v>
      </c>
      <c r="AV28" s="82">
        <f>IF(ISNA(VLOOKUP($CZ28,'Audit Values'!$A$2:$AC$360,2,FALSE)),"",IF(AND(Weightings!H28&gt;0,VLOOKUP($CZ28,'Audit Values'!$A$2:$AC$360,29,FALSE)&lt;Weightings!H28),Weightings!H28,VLOOKUP($CZ28,'Audit Values'!$A$2:$AC$360,29,FALSE)))</f>
        <v>15</v>
      </c>
      <c r="AW28" s="82" t="str">
        <f>IF(ISNA(VLOOKUP($CZ28,'Audit Values'!$A$2:$AD$360,2,FALSE)),"",VLOOKUP($CZ28,'Audit Values'!$A$2:$AD$360,30,FALSE))</f>
        <v>A</v>
      </c>
      <c r="AX28" s="82" t="str">
        <f>IF(Weightings!G28="","",IF(Weightings!I28="Pending","PX","R"))</f>
        <v>R</v>
      </c>
      <c r="AY28" s="114">
        <f>AR28*Weightings!$M$5+AU28</f>
        <v>6847760</v>
      </c>
      <c r="AZ28" s="2">
        <f>AT28*Weightings!$M$5+AU28</f>
        <v>7435741</v>
      </c>
      <c r="BA28" s="2">
        <f>IF(Weightings!G28&gt;0,Weightings!G28,'Preliminary SO66'!AB25)</f>
        <v>7451477</v>
      </c>
      <c r="BB28" s="2">
        <f t="shared" si="94"/>
        <v>7435741</v>
      </c>
      <c r="BC28" s="124"/>
      <c r="BD28" s="124">
        <f>Weightings!E28</f>
        <v>0</v>
      </c>
      <c r="BE28" s="124">
        <f>Weightings!F28</f>
        <v>0</v>
      </c>
      <c r="BF28" s="2">
        <f t="shared" si="95"/>
        <v>0</v>
      </c>
      <c r="BG28" s="2">
        <f t="shared" si="96"/>
        <v>7435741</v>
      </c>
      <c r="BH28" s="2">
        <f>MAX(ROUND(((AR28-AO28)*4433)+AP28,0),ROUND(((AR28-AO28)*4433)+Weightings!B28,0))</f>
        <v>8532138</v>
      </c>
      <c r="BI28" s="174">
        <v>0.3</v>
      </c>
      <c r="BJ28" s="2">
        <f t="shared" si="134"/>
        <v>2559641</v>
      </c>
      <c r="BK28" s="173">
        <v>2560705</v>
      </c>
      <c r="BL28" s="2">
        <f t="shared" si="98"/>
        <v>2559641</v>
      </c>
      <c r="BM28" s="3">
        <f t="shared" si="120"/>
        <v>0.3</v>
      </c>
      <c r="BN28" s="1">
        <f t="shared" si="99"/>
        <v>0</v>
      </c>
      <c r="BO28" s="4" t="b">
        <f t="shared" si="100"/>
        <v>0</v>
      </c>
      <c r="BP28" s="5">
        <f t="shared" si="101"/>
        <v>0</v>
      </c>
      <c r="BQ28" s="6">
        <f t="shared" si="102"/>
        <v>0</v>
      </c>
      <c r="BR28" s="4">
        <f t="shared" si="103"/>
        <v>0</v>
      </c>
      <c r="BS28" s="4" t="b">
        <f t="shared" si="104"/>
        <v>1</v>
      </c>
      <c r="BT28" s="4">
        <f t="shared" si="105"/>
        <v>921.07129999999995</v>
      </c>
      <c r="BU28" s="6">
        <f t="shared" si="106"/>
        <v>0.23131099999999999</v>
      </c>
      <c r="BV28" s="1">
        <f t="shared" si="107"/>
        <v>241.6</v>
      </c>
      <c r="BW28" s="1">
        <f t="shared" si="108"/>
        <v>0</v>
      </c>
      <c r="BX28" s="116">
        <v>575</v>
      </c>
      <c r="BY28" s="7">
        <f t="shared" si="121"/>
        <v>0.3</v>
      </c>
      <c r="BZ28" s="7">
        <f>IF(ROUND((Weightings!$P$5*BY28^Weightings!$P$6*Weightings!$P$8 ),2)&lt;Weightings!$P$7,Weightings!$P$7,ROUND((Weightings!$P$5*BY28^Weightings!$P$6*Weightings!$P$8 ),2))</f>
        <v>1318.99</v>
      </c>
      <c r="CA28" s="8">
        <f>ROUND(BZ28/Weightings!$M$5,4)</f>
        <v>0.34370000000000001</v>
      </c>
      <c r="CB28" s="1">
        <f t="shared" si="122"/>
        <v>60.1</v>
      </c>
      <c r="CC28" s="173">
        <v>0</v>
      </c>
      <c r="CD28" s="173">
        <v>0</v>
      </c>
      <c r="CE28" s="173">
        <v>0</v>
      </c>
      <c r="CF28" s="177">
        <v>0</v>
      </c>
      <c r="CG28" s="2">
        <f>AS28*Weightings!$M$5*CF28</f>
        <v>0</v>
      </c>
      <c r="CH28" s="2">
        <f t="shared" si="123"/>
        <v>0</v>
      </c>
      <c r="CI28" s="117">
        <f t="shared" si="111"/>
        <v>0.49</v>
      </c>
      <c r="CJ28" s="4">
        <f t="shared" si="112"/>
        <v>1.8</v>
      </c>
      <c r="CK28" s="1">
        <f t="shared" si="124"/>
        <v>0</v>
      </c>
      <c r="CL28" s="1">
        <f t="shared" si="125"/>
        <v>0</v>
      </c>
      <c r="CM28" s="1">
        <f t="shared" si="126"/>
        <v>50.2</v>
      </c>
      <c r="CN28" s="1">
        <f>IF(ISNA(VLOOKUP($CZ28,'Audit Values'!$A$2:$AE$439,2,FALSE)),'Preliminary SO66'!T25,VLOOKUP($CZ28,'Audit Values'!$A$2:$AE$439,20,FALSE))</f>
        <v>5.8</v>
      </c>
      <c r="CO28" s="1">
        <f t="shared" si="127"/>
        <v>6.1</v>
      </c>
      <c r="CP28" s="183">
        <v>0</v>
      </c>
      <c r="CQ28" s="1">
        <f t="shared" si="128"/>
        <v>0</v>
      </c>
      <c r="CR28" s="2">
        <f>IF(ISNA(VLOOKUP($CZ28,'Audit Values'!$A$2:$AE$439,2,FALSE)),'Preliminary SO66'!V25,VLOOKUP($CZ28,'Audit Values'!$A$2:$AE$439,22,FALSE))</f>
        <v>0</v>
      </c>
      <c r="CS28" s="1">
        <f t="shared" si="129"/>
        <v>0</v>
      </c>
      <c r="CT28" s="2">
        <f>IF(ISNA(VLOOKUP($CZ28,'Audit Values'!$A$2:$AE$439,2,FALSE)),'Preliminary SO66'!W25,VLOOKUP($CZ28,'Audit Values'!$A$2:$AE$439,23,FALSE))</f>
        <v>0</v>
      </c>
      <c r="CU28" s="1">
        <f t="shared" si="113"/>
        <v>0</v>
      </c>
      <c r="CV28" s="1">
        <f t="shared" si="114"/>
        <v>6.1</v>
      </c>
      <c r="CW28" s="176">
        <v>0</v>
      </c>
      <c r="CX28" s="2">
        <f>IF(CW28&gt;0,Weightings!$M$11*AR28,0)</f>
        <v>0</v>
      </c>
      <c r="CY28" s="2">
        <f t="shared" si="130"/>
        <v>0</v>
      </c>
      <c r="CZ28" s="108" t="s">
        <v>320</v>
      </c>
    </row>
    <row r="29" spans="1:104">
      <c r="A29" s="82">
        <v>211</v>
      </c>
      <c r="B29" s="4" t="s">
        <v>16</v>
      </c>
      <c r="C29" s="4" t="s">
        <v>656</v>
      </c>
      <c r="D29" s="1">
        <v>713.6</v>
      </c>
      <c r="E29" s="1">
        <v>0</v>
      </c>
      <c r="F29" s="1">
        <f t="shared" si="135"/>
        <v>713.6</v>
      </c>
      <c r="G29" s="1">
        <v>704.9</v>
      </c>
      <c r="H29" s="1">
        <v>0</v>
      </c>
      <c r="I29" s="1">
        <f t="shared" si="116"/>
        <v>704.9</v>
      </c>
      <c r="J29" s="1">
        <f t="shared" si="79"/>
        <v>695</v>
      </c>
      <c r="K29" s="1">
        <f>IF(ISNA(VLOOKUP($CZ29,'Audit Values'!$A$2:$AE$439,2,FALSE)),'Preliminary SO66'!B26,VLOOKUP($CZ29,'Audit Values'!$A$2:$AE$439,31,FALSE))</f>
        <v>695</v>
      </c>
      <c r="L29" s="1">
        <f t="shared" si="80"/>
        <v>704.9</v>
      </c>
      <c r="M29" s="1">
        <f>IF(ISNA(VLOOKUP($CZ29,'Audit Values'!$A$2:$AE$439,2,FALSE)),'Preliminary SO66'!Z26,VLOOKUP($CZ29,'Audit Values'!$A$2:$AE$439,26,FALSE))</f>
        <v>0</v>
      </c>
      <c r="N29" s="1">
        <f t="shared" si="81"/>
        <v>704.9</v>
      </c>
      <c r="O29" s="1">
        <f>IF(ISNA(VLOOKUP($CZ29,'Audit Values'!$A$2:$AE$439,2,FALSE)),'Preliminary SO66'!C26,IF(VLOOKUP($CZ29,'Audit Values'!$A$2:$AE$439,28,FALSE)="",VLOOKUP($CZ29,'Audit Values'!$A$2:$AE$439,3,FALSE),VLOOKUP($CZ29,'Audit Values'!$A$2:$AE$439,28,FALSE)))</f>
        <v>0</v>
      </c>
      <c r="P29" s="109">
        <f t="shared" si="82"/>
        <v>695</v>
      </c>
      <c r="Q29" s="110">
        <f t="shared" si="83"/>
        <v>695</v>
      </c>
      <c r="R29" s="111">
        <f t="shared" si="84"/>
        <v>695</v>
      </c>
      <c r="S29" s="1">
        <f t="shared" si="85"/>
        <v>704.9</v>
      </c>
      <c r="T29" s="1">
        <f t="shared" si="133"/>
        <v>0</v>
      </c>
      <c r="U29" s="1">
        <f t="shared" si="87"/>
        <v>244.3</v>
      </c>
      <c r="V29" s="1">
        <f t="shared" si="88"/>
        <v>244.3</v>
      </c>
      <c r="W29" s="1">
        <f t="shared" si="89"/>
        <v>0</v>
      </c>
      <c r="X29" s="1">
        <f>IF(ISNA(VLOOKUP($CZ29,'Audit Values'!$A$2:$AE$439,2,FALSE)),'Preliminary SO66'!D26,VLOOKUP($CZ29,'Audit Values'!$A$2:$AE$439,4,FALSE))</f>
        <v>175.3</v>
      </c>
      <c r="Y29" s="1">
        <f>ROUND((X29/6)*Weightings!$M$6,1)</f>
        <v>14.6</v>
      </c>
      <c r="Z29" s="1">
        <f>IF(ISNA(VLOOKUP($CZ29,'Audit Values'!$A$2:$AE$439,2,FALSE)),'Preliminary SO66'!F26,VLOOKUP($CZ29,'Audit Values'!$A$2:$AE$439,6,FALSE))</f>
        <v>0.5</v>
      </c>
      <c r="AA29" s="1">
        <f>ROUND((Z29/6)*Weightings!$M$7,1)</f>
        <v>0</v>
      </c>
      <c r="AB29" s="2">
        <f>IF(ISNA(VLOOKUP($CZ29,'Audit Values'!$A$2:$AE$439,2,FALSE)),'Preliminary SO66'!H26,VLOOKUP($CZ29,'Audit Values'!$A$2:$AE$439,8,FALSE))</f>
        <v>236</v>
      </c>
      <c r="AC29" s="1">
        <f>ROUND(AB29*Weightings!$M$8,1)</f>
        <v>107.6</v>
      </c>
      <c r="AD29" s="1">
        <f t="shared" si="117"/>
        <v>0</v>
      </c>
      <c r="AE29" s="185">
        <v>47</v>
      </c>
      <c r="AF29" s="1">
        <f>AE29*Weightings!$M$9</f>
        <v>2.2000000000000002</v>
      </c>
      <c r="AG29" s="1">
        <f>IF(ISNA(VLOOKUP($CZ29,'Audit Values'!$A$2:$AE$439,2,FALSE)),'Preliminary SO66'!L26,VLOOKUP($CZ29,'Audit Values'!$A$2:$AE$439,12,FALSE))</f>
        <v>0</v>
      </c>
      <c r="AH29" s="1">
        <f>ROUND(AG29*Weightings!$M$10,1)</f>
        <v>0</v>
      </c>
      <c r="AI29" s="1">
        <f>IF(ISNA(VLOOKUP($CZ29,'Audit Values'!$A$2:$AE$439,2,FALSE)),'Preliminary SO66'!O26,VLOOKUP($CZ29,'Audit Values'!$A$2:$AE$439,15,FALSE))</f>
        <v>142.5</v>
      </c>
      <c r="AJ29" s="1">
        <f t="shared" si="90"/>
        <v>53.1</v>
      </c>
      <c r="AK29" s="1">
        <f>CC29/Weightings!$M$5</f>
        <v>0</v>
      </c>
      <c r="AL29" s="1">
        <f>CD29/Weightings!$M$5</f>
        <v>0</v>
      </c>
      <c r="AM29" s="1">
        <f>CH29/Weightings!$M$5</f>
        <v>0</v>
      </c>
      <c r="AN29" s="1">
        <f t="shared" si="118"/>
        <v>0</v>
      </c>
      <c r="AO29" s="1">
        <f>IF(ISNA(VLOOKUP($CZ29,'Audit Values'!$A$2:$AE$439,2,FALSE)),'Preliminary SO66'!X26,VLOOKUP($CZ29,'Audit Values'!$A$2:$AE$439,24,FALSE))</f>
        <v>0</v>
      </c>
      <c r="AP29" s="188">
        <v>872660</v>
      </c>
      <c r="AQ29" s="113">
        <f>AP29/Weightings!$M$5</f>
        <v>227.4</v>
      </c>
      <c r="AR29" s="113">
        <f t="shared" si="91"/>
        <v>1126.7</v>
      </c>
      <c r="AS29" s="1">
        <f t="shared" si="92"/>
        <v>1354.1</v>
      </c>
      <c r="AT29" s="1">
        <f t="shared" si="93"/>
        <v>1354.1</v>
      </c>
      <c r="AU29" s="2">
        <f t="shared" si="119"/>
        <v>220000</v>
      </c>
      <c r="AV29" s="82">
        <f>IF(ISNA(VLOOKUP($CZ29,'Audit Values'!$A$2:$AC$360,2,FALSE)),"",IF(AND(Weightings!H29&gt;0,VLOOKUP($CZ29,'Audit Values'!$A$2:$AC$360,29,FALSE)&lt;Weightings!H29),Weightings!H29,VLOOKUP($CZ29,'Audit Values'!$A$2:$AC$360,29,FALSE)))</f>
        <v>8</v>
      </c>
      <c r="AW29" s="82" t="str">
        <f>IF(ISNA(VLOOKUP($CZ29,'Audit Values'!$A$2:$AD$360,2,FALSE)),"",VLOOKUP($CZ29,'Audit Values'!$A$2:$AD$360,30,FALSE))</f>
        <v>A</v>
      </c>
      <c r="AX29" s="82" t="str">
        <f>IF(Weightings!G29="","",IF(Weightings!I29="Pending","PX","R"))</f>
        <v/>
      </c>
      <c r="AY29" s="114">
        <f>AR29*Weightings!$M$5+AU29</f>
        <v>4544275</v>
      </c>
      <c r="AZ29" s="2">
        <f>AT29*Weightings!$M$5+AU29</f>
        <v>5417036</v>
      </c>
      <c r="BA29" s="2">
        <f>IF(Weightings!G29&gt;0,Weightings!G29,'Preliminary SO66'!AB26)</f>
        <v>5576981</v>
      </c>
      <c r="BB29" s="2">
        <f t="shared" si="94"/>
        <v>5417036</v>
      </c>
      <c r="BC29" s="124"/>
      <c r="BD29" s="124">
        <f>Weightings!E29</f>
        <v>0</v>
      </c>
      <c r="BE29" s="124">
        <f>Weightings!F29</f>
        <v>0</v>
      </c>
      <c r="BF29" s="2">
        <f t="shared" si="95"/>
        <v>0</v>
      </c>
      <c r="BG29" s="2">
        <f t="shared" si="96"/>
        <v>5417036</v>
      </c>
      <c r="BH29" s="2">
        <f>MAX(ROUND(((AR29-AO29)*4433)+AP29,0),ROUND(((AR29-AO29)*4433)+Weightings!B29,0))</f>
        <v>5867321</v>
      </c>
      <c r="BI29" s="174">
        <v>0.3</v>
      </c>
      <c r="BJ29" s="2">
        <f t="shared" si="134"/>
        <v>1760196</v>
      </c>
      <c r="BK29" s="173">
        <v>1460500</v>
      </c>
      <c r="BL29" s="2">
        <f t="shared" si="98"/>
        <v>1460500</v>
      </c>
      <c r="BM29" s="3">
        <f t="shared" si="120"/>
        <v>0.24890000000000001</v>
      </c>
      <c r="BN29" s="1">
        <f t="shared" si="99"/>
        <v>0</v>
      </c>
      <c r="BO29" s="4" t="b">
        <f t="shared" si="100"/>
        <v>0</v>
      </c>
      <c r="BP29" s="5">
        <f t="shared" si="101"/>
        <v>0</v>
      </c>
      <c r="BQ29" s="6">
        <f t="shared" si="102"/>
        <v>0</v>
      </c>
      <c r="BR29" s="4">
        <f t="shared" si="103"/>
        <v>0</v>
      </c>
      <c r="BS29" s="4" t="b">
        <f t="shared" si="104"/>
        <v>1</v>
      </c>
      <c r="BT29" s="4">
        <f t="shared" si="105"/>
        <v>501.06380000000001</v>
      </c>
      <c r="BU29" s="6">
        <f t="shared" si="106"/>
        <v>0.34662199999999999</v>
      </c>
      <c r="BV29" s="1">
        <f t="shared" si="107"/>
        <v>244.3</v>
      </c>
      <c r="BW29" s="1">
        <f t="shared" si="108"/>
        <v>0</v>
      </c>
      <c r="BX29" s="116">
        <v>678</v>
      </c>
      <c r="BY29" s="7">
        <f t="shared" si="121"/>
        <v>0.21</v>
      </c>
      <c r="BZ29" s="7">
        <f>IF(ROUND((Weightings!$P$5*BY29^Weightings!$P$6*Weightings!$P$8 ),2)&lt;Weightings!$P$7,Weightings!$P$7,ROUND((Weightings!$P$5*BY29^Weightings!$P$6*Weightings!$P$8 ),2))</f>
        <v>1430.79</v>
      </c>
      <c r="CA29" s="8">
        <f>ROUND(BZ29/Weightings!$M$5,4)</f>
        <v>0.37280000000000002</v>
      </c>
      <c r="CB29" s="1">
        <f t="shared" si="122"/>
        <v>53.1</v>
      </c>
      <c r="CC29" s="173">
        <v>0</v>
      </c>
      <c r="CD29" s="173">
        <v>0</v>
      </c>
      <c r="CE29" s="173">
        <v>0</v>
      </c>
      <c r="CF29" s="177">
        <v>0</v>
      </c>
      <c r="CG29" s="2">
        <f>AS29*Weightings!$M$5*CF29</f>
        <v>0</v>
      </c>
      <c r="CH29" s="2">
        <f t="shared" si="123"/>
        <v>0</v>
      </c>
      <c r="CI29" s="117">
        <f t="shared" si="111"/>
        <v>0.33500000000000002</v>
      </c>
      <c r="CJ29" s="4">
        <f t="shared" si="112"/>
        <v>1</v>
      </c>
      <c r="CK29" s="1">
        <f t="shared" si="124"/>
        <v>0</v>
      </c>
      <c r="CL29" s="1">
        <f t="shared" si="125"/>
        <v>0</v>
      </c>
      <c r="CM29" s="1">
        <f t="shared" si="126"/>
        <v>0</v>
      </c>
      <c r="CN29" s="1">
        <f>IF(ISNA(VLOOKUP($CZ29,'Audit Values'!$A$2:$AE$439,2,FALSE)),'Preliminary SO66'!T26,VLOOKUP($CZ29,'Audit Values'!$A$2:$AE$439,20,FALSE))</f>
        <v>0</v>
      </c>
      <c r="CO29" s="1">
        <f t="shared" si="127"/>
        <v>0</v>
      </c>
      <c r="CP29" s="183">
        <v>0</v>
      </c>
      <c r="CQ29" s="1">
        <f t="shared" si="128"/>
        <v>0</v>
      </c>
      <c r="CR29" s="2">
        <f>IF(ISNA(VLOOKUP($CZ29,'Audit Values'!$A$2:$AE$439,2,FALSE)),'Preliminary SO66'!V26,VLOOKUP($CZ29,'Audit Values'!$A$2:$AE$439,22,FALSE))</f>
        <v>0</v>
      </c>
      <c r="CS29" s="1">
        <f t="shared" si="129"/>
        <v>0</v>
      </c>
      <c r="CT29" s="2">
        <f>IF(ISNA(VLOOKUP($CZ29,'Audit Values'!$A$2:$AE$439,2,FALSE)),'Preliminary SO66'!W26,VLOOKUP($CZ29,'Audit Values'!$A$2:$AE$439,23,FALSE))</f>
        <v>0</v>
      </c>
      <c r="CU29" s="1">
        <f t="shared" si="113"/>
        <v>0</v>
      </c>
      <c r="CV29" s="1">
        <f t="shared" si="114"/>
        <v>0</v>
      </c>
      <c r="CW29" s="176">
        <v>220000</v>
      </c>
      <c r="CX29" s="2">
        <f>IF(CW29&gt;0,Weightings!$M$11*AR29,0)</f>
        <v>281675</v>
      </c>
      <c r="CY29" s="2">
        <f t="shared" si="130"/>
        <v>220000</v>
      </c>
      <c r="CZ29" s="108" t="s">
        <v>321</v>
      </c>
    </row>
    <row r="30" spans="1:104">
      <c r="A30" s="82">
        <v>212</v>
      </c>
      <c r="B30" s="4" t="s">
        <v>16</v>
      </c>
      <c r="C30" s="4" t="s">
        <v>657</v>
      </c>
      <c r="D30" s="1">
        <v>186</v>
      </c>
      <c r="E30" s="1">
        <v>0</v>
      </c>
      <c r="F30" s="1">
        <f t="shared" si="135"/>
        <v>186</v>
      </c>
      <c r="G30" s="1">
        <v>168.5</v>
      </c>
      <c r="H30" s="1">
        <v>0</v>
      </c>
      <c r="I30" s="1">
        <f t="shared" si="116"/>
        <v>168.5</v>
      </c>
      <c r="J30" s="1">
        <f t="shared" si="79"/>
        <v>170</v>
      </c>
      <c r="K30" s="1">
        <f>IF(ISNA(VLOOKUP($CZ30,'Audit Values'!$A$2:$AE$439,2,FALSE)),'Preliminary SO66'!B27,VLOOKUP($CZ30,'Audit Values'!$A$2:$AE$439,31,FALSE))</f>
        <v>170</v>
      </c>
      <c r="L30" s="1">
        <f t="shared" si="80"/>
        <v>174.8</v>
      </c>
      <c r="M30" s="1">
        <f>IF(ISNA(VLOOKUP($CZ30,'Audit Values'!$A$2:$AE$439,2,FALSE)),'Preliminary SO66'!Z27,VLOOKUP($CZ30,'Audit Values'!$A$2:$AE$439,26,FALSE))</f>
        <v>0</v>
      </c>
      <c r="N30" s="1">
        <f t="shared" si="81"/>
        <v>174.8</v>
      </c>
      <c r="O30" s="1">
        <f>IF(ISNA(VLOOKUP($CZ30,'Audit Values'!$A$2:$AE$439,2,FALSE)),'Preliminary SO66'!C27,IF(VLOOKUP($CZ30,'Audit Values'!$A$2:$AE$439,28,FALSE)="",VLOOKUP($CZ30,'Audit Values'!$A$2:$AE$439,3,FALSE),VLOOKUP($CZ30,'Audit Values'!$A$2:$AE$439,28,FALSE)))</f>
        <v>2.5</v>
      </c>
      <c r="P30" s="109">
        <f t="shared" si="82"/>
        <v>172.5</v>
      </c>
      <c r="Q30" s="110">
        <f t="shared" si="83"/>
        <v>172.5</v>
      </c>
      <c r="R30" s="111">
        <f t="shared" si="84"/>
        <v>172.5</v>
      </c>
      <c r="S30" s="1">
        <f t="shared" si="85"/>
        <v>177.3</v>
      </c>
      <c r="T30" s="1">
        <f t="shared" si="133"/>
        <v>0</v>
      </c>
      <c r="U30" s="1">
        <f t="shared" si="87"/>
        <v>143.5</v>
      </c>
      <c r="V30" s="1">
        <f t="shared" si="88"/>
        <v>143.5</v>
      </c>
      <c r="W30" s="1">
        <f t="shared" si="89"/>
        <v>0</v>
      </c>
      <c r="X30" s="1">
        <f>IF(ISNA(VLOOKUP($CZ30,'Audit Values'!$A$2:$AE$439,2,FALSE)),'Preliminary SO66'!D27,VLOOKUP($CZ30,'Audit Values'!$A$2:$AE$439,4,FALSE))</f>
        <v>59</v>
      </c>
      <c r="Y30" s="1">
        <f>ROUND((X30/6)*Weightings!$M$6,1)</f>
        <v>4.9000000000000004</v>
      </c>
      <c r="Z30" s="1">
        <f>IF(ISNA(VLOOKUP($CZ30,'Audit Values'!$A$2:$AE$439,2,FALSE)),'Preliminary SO66'!F27,VLOOKUP($CZ30,'Audit Values'!$A$2:$AE$439,6,FALSE))</f>
        <v>0</v>
      </c>
      <c r="AA30" s="1">
        <f>ROUND((Z30/6)*Weightings!$M$7,1)</f>
        <v>0</v>
      </c>
      <c r="AB30" s="2">
        <f>IF(ISNA(VLOOKUP($CZ30,'Audit Values'!$A$2:$AE$439,2,FALSE)),'Preliminary SO66'!H27,VLOOKUP($CZ30,'Audit Values'!$A$2:$AE$439,8,FALSE))</f>
        <v>65</v>
      </c>
      <c r="AC30" s="1">
        <f>ROUND(AB30*Weightings!$M$8,1)</f>
        <v>29.6</v>
      </c>
      <c r="AD30" s="1">
        <f t="shared" si="117"/>
        <v>0.8</v>
      </c>
      <c r="AE30" s="185">
        <v>9</v>
      </c>
      <c r="AF30" s="1">
        <f>AE30*Weightings!$M$9</f>
        <v>0.4</v>
      </c>
      <c r="AG30" s="1">
        <f>IF(ISNA(VLOOKUP($CZ30,'Audit Values'!$A$2:$AE$439,2,FALSE)),'Preliminary SO66'!L27,VLOOKUP($CZ30,'Audit Values'!$A$2:$AE$439,12,FALSE))</f>
        <v>0</v>
      </c>
      <c r="AH30" s="1">
        <f>ROUND(AG30*Weightings!$M$10,1)</f>
        <v>0</v>
      </c>
      <c r="AI30" s="1">
        <f>IF(ISNA(VLOOKUP($CZ30,'Audit Values'!$A$2:$AE$439,2,FALSE)),'Preliminary SO66'!O27,VLOOKUP($CZ30,'Audit Values'!$A$2:$AE$439,15,FALSE))</f>
        <v>88</v>
      </c>
      <c r="AJ30" s="1">
        <f t="shared" si="90"/>
        <v>29.6</v>
      </c>
      <c r="AK30" s="1">
        <f>CC30/Weightings!$M$5</f>
        <v>0</v>
      </c>
      <c r="AL30" s="1">
        <f>CD30/Weightings!$M$5</f>
        <v>0</v>
      </c>
      <c r="AM30" s="1">
        <f>CH30/Weightings!$M$5</f>
        <v>0</v>
      </c>
      <c r="AN30" s="1">
        <f t="shared" si="118"/>
        <v>0</v>
      </c>
      <c r="AO30" s="1">
        <f>IF(ISNA(VLOOKUP($CZ30,'Audit Values'!$A$2:$AE$439,2,FALSE)),'Preliminary SO66'!X27,VLOOKUP($CZ30,'Audit Values'!$A$2:$AE$439,24,FALSE))</f>
        <v>0</v>
      </c>
      <c r="AP30" s="188">
        <v>208108</v>
      </c>
      <c r="AQ30" s="113">
        <f>AP30/Weightings!$M$5</f>
        <v>54.2</v>
      </c>
      <c r="AR30" s="113">
        <f t="shared" si="91"/>
        <v>386.1</v>
      </c>
      <c r="AS30" s="1">
        <f t="shared" si="92"/>
        <v>440.3</v>
      </c>
      <c r="AT30" s="1">
        <f t="shared" si="93"/>
        <v>440.3</v>
      </c>
      <c r="AU30" s="2">
        <f t="shared" si="119"/>
        <v>0</v>
      </c>
      <c r="AV30" s="82">
        <f>IF(ISNA(VLOOKUP($CZ30,'Audit Values'!$A$2:$AC$360,2,FALSE)),"",IF(AND(Weightings!H30&gt;0,VLOOKUP($CZ30,'Audit Values'!$A$2:$AC$360,29,FALSE)&lt;Weightings!H30),Weightings!H30,VLOOKUP($CZ30,'Audit Values'!$A$2:$AC$360,29,FALSE)))</f>
        <v>22</v>
      </c>
      <c r="AW30" s="82" t="str">
        <f>IF(ISNA(VLOOKUP($CZ30,'Audit Values'!$A$2:$AD$360,2,FALSE)),"",VLOOKUP($CZ30,'Audit Values'!$A$2:$AD$360,30,FALSE))</f>
        <v>A</v>
      </c>
      <c r="AX30" s="82" t="str">
        <f>IF(Weightings!G30="","",IF(Weightings!I30="Pending","PX","R"))</f>
        <v/>
      </c>
      <c r="AY30" s="114">
        <f>AR30*Weightings!$M$5+AU30</f>
        <v>1481852</v>
      </c>
      <c r="AZ30" s="2">
        <f>AT30*Weightings!$M$5+AU30</f>
        <v>1689871</v>
      </c>
      <c r="BA30" s="2">
        <f>IF(Weightings!G30&gt;0,Weightings!G30,'Preliminary SO66'!AB27)</f>
        <v>1808656</v>
      </c>
      <c r="BB30" s="2">
        <f t="shared" si="94"/>
        <v>1689871</v>
      </c>
      <c r="BC30" s="124"/>
      <c r="BD30" s="124">
        <f>Weightings!E30</f>
        <v>0</v>
      </c>
      <c r="BE30" s="124">
        <f>Weightings!F30</f>
        <v>0</v>
      </c>
      <c r="BF30" s="2">
        <f t="shared" si="95"/>
        <v>0</v>
      </c>
      <c r="BG30" s="2">
        <f t="shared" si="96"/>
        <v>1689871</v>
      </c>
      <c r="BH30" s="2">
        <f>MAX(ROUND(((AR30-AO30)*4433)+AP30,0),ROUND(((AR30-AO30)*4433)+Weightings!B30,0))</f>
        <v>1958681</v>
      </c>
      <c r="BI30" s="174">
        <v>0.3</v>
      </c>
      <c r="BJ30" s="2">
        <f t="shared" si="134"/>
        <v>587604</v>
      </c>
      <c r="BK30" s="173">
        <v>586009</v>
      </c>
      <c r="BL30" s="2">
        <f t="shared" si="98"/>
        <v>586009</v>
      </c>
      <c r="BM30" s="3">
        <f t="shared" si="120"/>
        <v>0.29920000000000002</v>
      </c>
      <c r="BN30" s="1">
        <f t="shared" si="99"/>
        <v>0</v>
      </c>
      <c r="BO30" s="4" t="b">
        <f t="shared" si="100"/>
        <v>1</v>
      </c>
      <c r="BP30" s="5">
        <f t="shared" si="101"/>
        <v>746.33199999999999</v>
      </c>
      <c r="BQ30" s="6">
        <f t="shared" si="102"/>
        <v>0.80942999999999998</v>
      </c>
      <c r="BR30" s="4">
        <f t="shared" si="103"/>
        <v>143.5</v>
      </c>
      <c r="BS30" s="4" t="b">
        <f t="shared" si="104"/>
        <v>0</v>
      </c>
      <c r="BT30" s="4">
        <f t="shared" si="105"/>
        <v>0</v>
      </c>
      <c r="BU30" s="6">
        <f t="shared" si="106"/>
        <v>0</v>
      </c>
      <c r="BV30" s="1">
        <f t="shared" si="107"/>
        <v>0</v>
      </c>
      <c r="BW30" s="1">
        <f t="shared" si="108"/>
        <v>0</v>
      </c>
      <c r="BX30" s="116">
        <v>263</v>
      </c>
      <c r="BY30" s="7">
        <f t="shared" si="121"/>
        <v>0.33</v>
      </c>
      <c r="BZ30" s="7">
        <f>IF(ROUND((Weightings!$P$5*BY30^Weightings!$P$6*Weightings!$P$8 ),2)&lt;Weightings!$P$7,Weightings!$P$7,ROUND((Weightings!$P$5*BY30^Weightings!$P$6*Weightings!$P$8 ),2))</f>
        <v>1290.6300000000001</v>
      </c>
      <c r="CA30" s="8">
        <f>ROUND(BZ30/Weightings!$M$5,4)</f>
        <v>0.33629999999999999</v>
      </c>
      <c r="CB30" s="1">
        <f t="shared" si="122"/>
        <v>29.6</v>
      </c>
      <c r="CC30" s="173">
        <v>0</v>
      </c>
      <c r="CD30" s="173">
        <v>0</v>
      </c>
      <c r="CE30" s="173">
        <v>0</v>
      </c>
      <c r="CF30" s="177">
        <v>0</v>
      </c>
      <c r="CG30" s="2">
        <f>AS30*Weightings!$M$5*CF30</f>
        <v>0</v>
      </c>
      <c r="CH30" s="2">
        <f t="shared" si="123"/>
        <v>0</v>
      </c>
      <c r="CI30" s="117">
        <f t="shared" si="111"/>
        <v>0.36699999999999999</v>
      </c>
      <c r="CJ30" s="4">
        <f t="shared" si="112"/>
        <v>0.7</v>
      </c>
      <c r="CK30" s="1">
        <f t="shared" si="124"/>
        <v>0</v>
      </c>
      <c r="CL30" s="1">
        <f t="shared" si="125"/>
        <v>0</v>
      </c>
      <c r="CM30" s="1">
        <f t="shared" si="126"/>
        <v>0.8</v>
      </c>
      <c r="CN30" s="1">
        <f>IF(ISNA(VLOOKUP($CZ30,'Audit Values'!$A$2:$AE$439,2,FALSE)),'Preliminary SO66'!T27,VLOOKUP($CZ30,'Audit Values'!$A$2:$AE$439,20,FALSE))</f>
        <v>0</v>
      </c>
      <c r="CO30" s="1">
        <f t="shared" si="127"/>
        <v>0</v>
      </c>
      <c r="CP30" s="183">
        <v>0</v>
      </c>
      <c r="CQ30" s="1">
        <f t="shared" si="128"/>
        <v>0</v>
      </c>
      <c r="CR30" s="2">
        <f>IF(ISNA(VLOOKUP($CZ30,'Audit Values'!$A$2:$AE$439,2,FALSE)),'Preliminary SO66'!V27,VLOOKUP($CZ30,'Audit Values'!$A$2:$AE$439,22,FALSE))</f>
        <v>0</v>
      </c>
      <c r="CS30" s="1">
        <f t="shared" si="129"/>
        <v>0</v>
      </c>
      <c r="CT30" s="2">
        <f>IF(ISNA(VLOOKUP($CZ30,'Audit Values'!$A$2:$AE$439,2,FALSE)),'Preliminary SO66'!W27,VLOOKUP($CZ30,'Audit Values'!$A$2:$AE$439,23,FALSE))</f>
        <v>0</v>
      </c>
      <c r="CU30" s="1">
        <f t="shared" si="113"/>
        <v>0</v>
      </c>
      <c r="CV30" s="1">
        <f t="shared" si="114"/>
        <v>0</v>
      </c>
      <c r="CW30" s="176">
        <v>0</v>
      </c>
      <c r="CX30" s="2">
        <f>IF(CW30&gt;0,Weightings!$M$11*AR30,0)</f>
        <v>0</v>
      </c>
      <c r="CY30" s="2">
        <f t="shared" si="130"/>
        <v>0</v>
      </c>
      <c r="CZ30" s="108" t="s">
        <v>322</v>
      </c>
    </row>
    <row r="31" spans="1:104">
      <c r="A31" s="82">
        <v>214</v>
      </c>
      <c r="B31" s="4" t="s">
        <v>17</v>
      </c>
      <c r="C31" s="4" t="s">
        <v>658</v>
      </c>
      <c r="D31" s="1">
        <v>1559.8</v>
      </c>
      <c r="E31" s="1">
        <v>0</v>
      </c>
      <c r="F31" s="1">
        <f t="shared" si="135"/>
        <v>1559.8</v>
      </c>
      <c r="G31" s="1">
        <v>1588.6</v>
      </c>
      <c r="H31" s="1">
        <v>0</v>
      </c>
      <c r="I31" s="1">
        <f t="shared" si="116"/>
        <v>1588.6</v>
      </c>
      <c r="J31" s="1">
        <f t="shared" si="79"/>
        <v>1640.5</v>
      </c>
      <c r="K31" s="1">
        <f>IF(ISNA(VLOOKUP($CZ31,'Audit Values'!$A$2:$AE$439,2,FALSE)),'Preliminary SO66'!B28,VLOOKUP($CZ31,'Audit Values'!$A$2:$AE$439,31,FALSE))</f>
        <v>1640.5</v>
      </c>
      <c r="L31" s="1">
        <f t="shared" si="80"/>
        <v>1640.5</v>
      </c>
      <c r="M31" s="1">
        <f>IF(ISNA(VLOOKUP($CZ31,'Audit Values'!$A$2:$AE$439,2,FALSE)),'Preliminary SO66'!Z28,VLOOKUP($CZ31,'Audit Values'!$A$2:$AE$439,26,FALSE))</f>
        <v>0</v>
      </c>
      <c r="N31" s="1">
        <f t="shared" si="81"/>
        <v>1640.5</v>
      </c>
      <c r="O31" s="1">
        <f>IF(ISNA(VLOOKUP($CZ31,'Audit Values'!$A$2:$AE$439,2,FALSE)),'Preliminary SO66'!C28,IF(VLOOKUP($CZ31,'Audit Values'!$A$2:$AE$439,28,FALSE)="",VLOOKUP($CZ31,'Audit Values'!$A$2:$AE$439,3,FALSE),VLOOKUP($CZ31,'Audit Values'!$A$2:$AE$439,28,FALSE)))</f>
        <v>31</v>
      </c>
      <c r="P31" s="109">
        <f t="shared" si="82"/>
        <v>1671.5</v>
      </c>
      <c r="Q31" s="110">
        <f t="shared" si="83"/>
        <v>1671.5</v>
      </c>
      <c r="R31" s="111">
        <f t="shared" si="84"/>
        <v>1671.5</v>
      </c>
      <c r="S31" s="1">
        <f t="shared" si="85"/>
        <v>1671.5</v>
      </c>
      <c r="T31" s="1">
        <f t="shared" si="133"/>
        <v>0</v>
      </c>
      <c r="U31" s="1">
        <f t="shared" si="87"/>
        <v>58.6</v>
      </c>
      <c r="V31" s="1">
        <f t="shared" si="88"/>
        <v>0</v>
      </c>
      <c r="W31" s="1">
        <f t="shared" si="89"/>
        <v>58.6</v>
      </c>
      <c r="X31" s="1">
        <f>IF(ISNA(VLOOKUP($CZ31,'Audit Values'!$A$2:$AE$439,2,FALSE)),'Preliminary SO66'!D28,VLOOKUP($CZ31,'Audit Values'!$A$2:$AE$439,4,FALSE))</f>
        <v>238</v>
      </c>
      <c r="Y31" s="1">
        <f>ROUND((X31/6)*Weightings!$M$6,1)</f>
        <v>19.8</v>
      </c>
      <c r="Z31" s="1">
        <f>IF(ISNA(VLOOKUP($CZ31,'Audit Values'!$A$2:$AE$439,2,FALSE)),'Preliminary SO66'!F28,VLOOKUP($CZ31,'Audit Values'!$A$2:$AE$439,6,FALSE))</f>
        <v>1417.9</v>
      </c>
      <c r="AA31" s="1">
        <f>ROUND((Z31/6)*Weightings!$M$7,1)</f>
        <v>93.3</v>
      </c>
      <c r="AB31" s="2">
        <f>IF(ISNA(VLOOKUP($CZ31,'Audit Values'!$A$2:$AE$439,2,FALSE)),'Preliminary SO66'!H28,VLOOKUP($CZ31,'Audit Values'!$A$2:$AE$439,8,FALSE))</f>
        <v>867</v>
      </c>
      <c r="AC31" s="1">
        <f>ROUND(AB31*Weightings!$M$8,1)</f>
        <v>395.4</v>
      </c>
      <c r="AD31" s="1">
        <f t="shared" si="117"/>
        <v>91</v>
      </c>
      <c r="AE31" s="185">
        <v>153</v>
      </c>
      <c r="AF31" s="1">
        <f>AE31*Weightings!$M$9</f>
        <v>7.1</v>
      </c>
      <c r="AG31" s="1">
        <f>IF(ISNA(VLOOKUP($CZ31,'Audit Values'!$A$2:$AE$439,2,FALSE)),'Preliminary SO66'!L28,VLOOKUP($CZ31,'Audit Values'!$A$2:$AE$439,12,FALSE))</f>
        <v>0</v>
      </c>
      <c r="AH31" s="1">
        <f>ROUND(AG31*Weightings!$M$10,1)</f>
        <v>0</v>
      </c>
      <c r="AI31" s="1">
        <f>IF(ISNA(VLOOKUP($CZ31,'Audit Values'!$A$2:$AE$439,2,FALSE)),'Preliminary SO66'!O28,VLOOKUP($CZ31,'Audit Values'!$A$2:$AE$439,15,FALSE))</f>
        <v>237</v>
      </c>
      <c r="AJ31" s="1">
        <f t="shared" si="90"/>
        <v>73.900000000000006</v>
      </c>
      <c r="AK31" s="1">
        <f>CC31/Weightings!$M$5</f>
        <v>0</v>
      </c>
      <c r="AL31" s="1">
        <f>CD31/Weightings!$M$5</f>
        <v>0</v>
      </c>
      <c r="AM31" s="1">
        <f>CH31/Weightings!$M$5</f>
        <v>0</v>
      </c>
      <c r="AN31" s="1">
        <f t="shared" si="118"/>
        <v>0</v>
      </c>
      <c r="AO31" s="1">
        <f>IF(ISNA(VLOOKUP($CZ31,'Audit Values'!$A$2:$AE$439,2,FALSE)),'Preliminary SO66'!X28,VLOOKUP($CZ31,'Audit Values'!$A$2:$AE$439,24,FALSE))</f>
        <v>1</v>
      </c>
      <c r="AP31" s="188">
        <v>892505.00000000012</v>
      </c>
      <c r="AQ31" s="113">
        <f>AP31/Weightings!$M$5</f>
        <v>232.5</v>
      </c>
      <c r="AR31" s="113">
        <f t="shared" si="91"/>
        <v>2411.6</v>
      </c>
      <c r="AS31" s="1">
        <f t="shared" si="92"/>
        <v>2644.1</v>
      </c>
      <c r="AT31" s="1">
        <f t="shared" si="93"/>
        <v>2644.1</v>
      </c>
      <c r="AU31" s="2">
        <f t="shared" si="119"/>
        <v>0</v>
      </c>
      <c r="AV31" s="82">
        <f>IF(ISNA(VLOOKUP($CZ31,'Audit Values'!$A$2:$AC$360,2,FALSE)),"",IF(AND(Weightings!H31&gt;0,VLOOKUP($CZ31,'Audit Values'!$A$2:$AC$360,29,FALSE)&lt;Weightings!H31),Weightings!H31,VLOOKUP($CZ31,'Audit Values'!$A$2:$AC$360,29,FALSE)))</f>
        <v>16</v>
      </c>
      <c r="AW31" s="82" t="str">
        <f>IF(ISNA(VLOOKUP($CZ31,'Audit Values'!$A$2:$AD$360,2,FALSE)),"",VLOOKUP($CZ31,'Audit Values'!$A$2:$AD$360,30,FALSE))</f>
        <v>A</v>
      </c>
      <c r="AX31" s="82" t="str">
        <f>IF(Weightings!G31="","",IF(Weightings!I31="Pending","PX","R"))</f>
        <v>R</v>
      </c>
      <c r="AY31" s="114">
        <f>AR31*Weightings!$M$5+AU31</f>
        <v>9255721</v>
      </c>
      <c r="AZ31" s="2">
        <f>AT31*Weightings!$M$5+AU31</f>
        <v>10148056</v>
      </c>
      <c r="BA31" s="2">
        <f>IF(Weightings!G31&gt;0,Weightings!G31,'Preliminary SO66'!AB28)</f>
        <v>10151126</v>
      </c>
      <c r="BB31" s="2">
        <f t="shared" si="94"/>
        <v>10148056</v>
      </c>
      <c r="BC31" s="124"/>
      <c r="BD31" s="124">
        <f>Weightings!E31</f>
        <v>0</v>
      </c>
      <c r="BE31" s="124">
        <f>Weightings!F31</f>
        <v>0</v>
      </c>
      <c r="BF31" s="2">
        <f t="shared" si="95"/>
        <v>0</v>
      </c>
      <c r="BG31" s="2">
        <f t="shared" si="96"/>
        <v>10148056</v>
      </c>
      <c r="BH31" s="2">
        <f>MAX(ROUND(((AR31-AO31)*4433)+AP31,0),ROUND(((AR31-AO31)*4433)+Weightings!B31,0))</f>
        <v>11680420</v>
      </c>
      <c r="BI31" s="174">
        <v>0.3</v>
      </c>
      <c r="BJ31" s="2">
        <f t="shared" si="134"/>
        <v>3504126</v>
      </c>
      <c r="BK31" s="173">
        <v>3420475</v>
      </c>
      <c r="BL31" s="2">
        <f t="shared" si="98"/>
        <v>3420475</v>
      </c>
      <c r="BM31" s="3">
        <f t="shared" si="120"/>
        <v>0.2928</v>
      </c>
      <c r="BN31" s="1">
        <f t="shared" si="99"/>
        <v>0</v>
      </c>
      <c r="BO31" s="4" t="b">
        <f t="shared" si="100"/>
        <v>0</v>
      </c>
      <c r="BP31" s="5">
        <f t="shared" si="101"/>
        <v>0</v>
      </c>
      <c r="BQ31" s="6">
        <f t="shared" si="102"/>
        <v>0</v>
      </c>
      <c r="BR31" s="4">
        <f t="shared" si="103"/>
        <v>0</v>
      </c>
      <c r="BS31" s="4" t="b">
        <f t="shared" si="104"/>
        <v>0</v>
      </c>
      <c r="BT31" s="4">
        <f t="shared" si="105"/>
        <v>0</v>
      </c>
      <c r="BU31" s="6">
        <f t="shared" si="106"/>
        <v>0</v>
      </c>
      <c r="BV31" s="1">
        <f t="shared" si="107"/>
        <v>0</v>
      </c>
      <c r="BW31" s="1">
        <f t="shared" si="108"/>
        <v>58.6</v>
      </c>
      <c r="BX31" s="116">
        <v>517</v>
      </c>
      <c r="BY31" s="7">
        <f t="shared" si="121"/>
        <v>0.46</v>
      </c>
      <c r="BZ31" s="7">
        <f>IF(ROUND((Weightings!$P$5*BY31^Weightings!$P$6*Weightings!$P$8 ),2)&lt;Weightings!$P$7,Weightings!$P$7,ROUND((Weightings!$P$5*BY31^Weightings!$P$6*Weightings!$P$8 ),2))</f>
        <v>1196.46</v>
      </c>
      <c r="CA31" s="8">
        <f>ROUND(BZ31/Weightings!$M$5,4)</f>
        <v>0.31169999999999998</v>
      </c>
      <c r="CB31" s="1">
        <f t="shared" si="122"/>
        <v>73.900000000000006</v>
      </c>
      <c r="CC31" s="173">
        <v>0</v>
      </c>
      <c r="CD31" s="173">
        <v>0</v>
      </c>
      <c r="CE31" s="173">
        <v>0</v>
      </c>
      <c r="CF31" s="177">
        <v>0</v>
      </c>
      <c r="CG31" s="2">
        <f>AS31*Weightings!$M$5*CF31</f>
        <v>0</v>
      </c>
      <c r="CH31" s="2">
        <f t="shared" si="123"/>
        <v>0</v>
      </c>
      <c r="CI31" s="117">
        <f t="shared" si="111"/>
        <v>0.51900000000000002</v>
      </c>
      <c r="CJ31" s="4">
        <f t="shared" si="112"/>
        <v>3.2</v>
      </c>
      <c r="CK31" s="1">
        <f t="shared" si="124"/>
        <v>91</v>
      </c>
      <c r="CL31" s="1">
        <f t="shared" si="125"/>
        <v>0</v>
      </c>
      <c r="CM31" s="1">
        <f t="shared" si="126"/>
        <v>0</v>
      </c>
      <c r="CN31" s="1">
        <f>IF(ISNA(VLOOKUP($CZ31,'Audit Values'!$A$2:$AE$439,2,FALSE)),'Preliminary SO66'!T28,VLOOKUP($CZ31,'Audit Values'!$A$2:$AE$439,20,FALSE))</f>
        <v>0</v>
      </c>
      <c r="CO31" s="1">
        <f t="shared" si="127"/>
        <v>0</v>
      </c>
      <c r="CP31" s="183">
        <v>0</v>
      </c>
      <c r="CQ31" s="1">
        <f t="shared" si="128"/>
        <v>0</v>
      </c>
      <c r="CR31" s="2">
        <f>IF(ISNA(VLOOKUP($CZ31,'Audit Values'!$A$2:$AE$439,2,FALSE)),'Preliminary SO66'!V28,VLOOKUP($CZ31,'Audit Values'!$A$2:$AE$439,22,FALSE))</f>
        <v>0</v>
      </c>
      <c r="CS31" s="1">
        <f t="shared" si="129"/>
        <v>0</v>
      </c>
      <c r="CT31" s="2">
        <f>IF(ISNA(VLOOKUP($CZ31,'Audit Values'!$A$2:$AE$439,2,FALSE)),'Preliminary SO66'!W28,VLOOKUP($CZ31,'Audit Values'!$A$2:$AE$439,23,FALSE))</f>
        <v>0</v>
      </c>
      <c r="CU31" s="1">
        <f t="shared" ref="CU31:CU50" si="136">CT31*0.08</f>
        <v>0</v>
      </c>
      <c r="CV31" s="1">
        <f t="shared" ref="CV31:CV50" si="137">CO31+CQ31+CS31+CU31</f>
        <v>0</v>
      </c>
      <c r="CW31" s="176">
        <v>0</v>
      </c>
      <c r="CX31" s="2">
        <f>IF(CW31&gt;0,Weightings!$M$11*AR31,0)</f>
        <v>0</v>
      </c>
      <c r="CY31" s="2">
        <f t="shared" si="130"/>
        <v>0</v>
      </c>
      <c r="CZ31" s="108" t="s">
        <v>323</v>
      </c>
    </row>
    <row r="32" spans="1:104">
      <c r="A32" s="82">
        <v>215</v>
      </c>
      <c r="B32" s="4" t="s">
        <v>18</v>
      </c>
      <c r="C32" s="4" t="s">
        <v>659</v>
      </c>
      <c r="D32" s="1">
        <v>617.5</v>
      </c>
      <c r="E32" s="1">
        <v>0</v>
      </c>
      <c r="F32" s="1">
        <f t="shared" si="135"/>
        <v>617.5</v>
      </c>
      <c r="G32" s="1">
        <v>604.4</v>
      </c>
      <c r="H32" s="1">
        <v>0</v>
      </c>
      <c r="I32" s="1">
        <f t="shared" si="116"/>
        <v>604.4</v>
      </c>
      <c r="J32" s="1">
        <f t="shared" si="79"/>
        <v>631.4</v>
      </c>
      <c r="K32" s="1">
        <f>IF(ISNA(VLOOKUP($CZ32,'Audit Values'!$A$2:$AE$439,2,FALSE)),'Preliminary SO66'!B29,VLOOKUP($CZ32,'Audit Values'!$A$2:$AE$439,31,FALSE))</f>
        <v>631.4</v>
      </c>
      <c r="L32" s="1">
        <f t="shared" si="80"/>
        <v>631.4</v>
      </c>
      <c r="M32" s="1">
        <f>IF(ISNA(VLOOKUP($CZ32,'Audit Values'!$A$2:$AE$439,2,FALSE)),'Preliminary SO66'!Z29,VLOOKUP($CZ32,'Audit Values'!$A$2:$AE$439,26,FALSE))</f>
        <v>0</v>
      </c>
      <c r="N32" s="1">
        <f t="shared" si="81"/>
        <v>631.4</v>
      </c>
      <c r="O32" s="1">
        <f>IF(ISNA(VLOOKUP($CZ32,'Audit Values'!$A$2:$AE$439,2,FALSE)),'Preliminary SO66'!C29,IF(VLOOKUP($CZ32,'Audit Values'!$A$2:$AE$439,28,FALSE)="",VLOOKUP($CZ32,'Audit Values'!$A$2:$AE$439,3,FALSE),VLOOKUP($CZ32,'Audit Values'!$A$2:$AE$439,28,FALSE)))</f>
        <v>6.5</v>
      </c>
      <c r="P32" s="109">
        <f t="shared" si="82"/>
        <v>637.9</v>
      </c>
      <c r="Q32" s="110">
        <f t="shared" si="83"/>
        <v>637.9</v>
      </c>
      <c r="R32" s="111">
        <f t="shared" si="84"/>
        <v>637.9</v>
      </c>
      <c r="S32" s="1">
        <f t="shared" si="85"/>
        <v>637.9</v>
      </c>
      <c r="T32" s="1">
        <f t="shared" si="133"/>
        <v>0</v>
      </c>
      <c r="U32" s="1">
        <f t="shared" si="87"/>
        <v>235.6</v>
      </c>
      <c r="V32" s="1">
        <f t="shared" si="88"/>
        <v>235.6</v>
      </c>
      <c r="W32" s="1">
        <f t="shared" si="89"/>
        <v>0</v>
      </c>
      <c r="X32" s="1">
        <f>IF(ISNA(VLOOKUP($CZ32,'Audit Values'!$A$2:$AE$439,2,FALSE)),'Preliminary SO66'!D29,VLOOKUP($CZ32,'Audit Values'!$A$2:$AE$439,4,FALSE))</f>
        <v>35.200000000000003</v>
      </c>
      <c r="Y32" s="1">
        <f>ROUND((X32/6)*Weightings!$M$6,1)</f>
        <v>2.9</v>
      </c>
      <c r="Z32" s="1">
        <f>IF(ISNA(VLOOKUP($CZ32,'Audit Values'!$A$2:$AE$439,2,FALSE)),'Preliminary SO66'!F29,VLOOKUP($CZ32,'Audit Values'!$A$2:$AE$439,6,FALSE))</f>
        <v>798.5</v>
      </c>
      <c r="AA32" s="1">
        <f>ROUND((Z32/6)*Weightings!$M$7,1)</f>
        <v>52.6</v>
      </c>
      <c r="AB32" s="2">
        <f>IF(ISNA(VLOOKUP($CZ32,'Audit Values'!$A$2:$AE$439,2,FALSE)),'Preliminary SO66'!H29,VLOOKUP($CZ32,'Audit Values'!$A$2:$AE$439,8,FALSE))</f>
        <v>291</v>
      </c>
      <c r="AC32" s="1">
        <f>ROUND(AB32*Weightings!$M$8,1)</f>
        <v>132.69999999999999</v>
      </c>
      <c r="AD32" s="1">
        <f t="shared" si="117"/>
        <v>21.6</v>
      </c>
      <c r="AE32" s="185">
        <v>33</v>
      </c>
      <c r="AF32" s="1">
        <f>AE32*Weightings!$M$9</f>
        <v>1.5</v>
      </c>
      <c r="AG32" s="1">
        <f>IF(ISNA(VLOOKUP($CZ32,'Audit Values'!$A$2:$AE$439,2,FALSE)),'Preliminary SO66'!L29,VLOOKUP($CZ32,'Audit Values'!$A$2:$AE$439,12,FALSE))</f>
        <v>0</v>
      </c>
      <c r="AH32" s="1">
        <f>ROUND(AG32*Weightings!$M$10,1)</f>
        <v>0</v>
      </c>
      <c r="AI32" s="1">
        <f>IF(ISNA(VLOOKUP($CZ32,'Audit Values'!$A$2:$AE$439,2,FALSE)),'Preliminary SO66'!O29,VLOOKUP($CZ32,'Audit Values'!$A$2:$AE$439,15,FALSE))</f>
        <v>88</v>
      </c>
      <c r="AJ32" s="1">
        <f t="shared" si="90"/>
        <v>36</v>
      </c>
      <c r="AK32" s="1">
        <f>CC32/Weightings!$M$5</f>
        <v>0</v>
      </c>
      <c r="AL32" s="1">
        <f>CD32/Weightings!$M$5</f>
        <v>0</v>
      </c>
      <c r="AM32" s="1">
        <f>CH32/Weightings!$M$5</f>
        <v>0</v>
      </c>
      <c r="AN32" s="1">
        <f t="shared" si="118"/>
        <v>0</v>
      </c>
      <c r="AO32" s="1">
        <f>IF(ISNA(VLOOKUP($CZ32,'Audit Values'!$A$2:$AE$439,2,FALSE)),'Preliminary SO66'!X29,VLOOKUP($CZ32,'Audit Values'!$A$2:$AE$439,24,FALSE))</f>
        <v>0</v>
      </c>
      <c r="AP32" s="188">
        <v>349809</v>
      </c>
      <c r="AQ32" s="113">
        <f>AP32/Weightings!$M$5</f>
        <v>91.1</v>
      </c>
      <c r="AR32" s="113">
        <f t="shared" si="91"/>
        <v>1120.8</v>
      </c>
      <c r="AS32" s="1">
        <f t="shared" si="92"/>
        <v>1211.9000000000001</v>
      </c>
      <c r="AT32" s="1">
        <f t="shared" si="93"/>
        <v>1211.9000000000001</v>
      </c>
      <c r="AU32" s="2">
        <f t="shared" si="119"/>
        <v>0</v>
      </c>
      <c r="AV32" s="82">
        <f>IF(ISNA(VLOOKUP($CZ32,'Audit Values'!$A$2:$AC$360,2,FALSE)),"",IF(AND(Weightings!H32&gt;0,VLOOKUP($CZ32,'Audit Values'!$A$2:$AC$360,29,FALSE)&lt;Weightings!H32),Weightings!H32,VLOOKUP($CZ32,'Audit Values'!$A$2:$AC$360,29,FALSE)))</f>
        <v>23</v>
      </c>
      <c r="AW32" s="82" t="str">
        <f>IF(ISNA(VLOOKUP($CZ32,'Audit Values'!$A$2:$AD$360,2,FALSE)),"",VLOOKUP($CZ32,'Audit Values'!$A$2:$AD$360,30,FALSE))</f>
        <v>A</v>
      </c>
      <c r="AX32" s="82" t="str">
        <f>IF(Weightings!G32="","",IF(Weightings!I32="Pending","PX","R"))</f>
        <v>R</v>
      </c>
      <c r="AY32" s="114">
        <f>AR32*Weightings!$M$5+AU32</f>
        <v>4301630</v>
      </c>
      <c r="AZ32" s="2">
        <f>AT32*Weightings!$M$5+AU32</f>
        <v>4651272</v>
      </c>
      <c r="BA32" s="2">
        <f>IF(Weightings!G32&gt;0,Weightings!G32,'Preliminary SO66'!AB29)</f>
        <v>4665089</v>
      </c>
      <c r="BB32" s="2">
        <f t="shared" si="94"/>
        <v>4651272</v>
      </c>
      <c r="BC32" s="124"/>
      <c r="BD32" s="124">
        <f>Weightings!E32</f>
        <v>-3105</v>
      </c>
      <c r="BE32" s="124">
        <f>Weightings!F32</f>
        <v>0</v>
      </c>
      <c r="BF32" s="2">
        <f t="shared" si="95"/>
        <v>-3105</v>
      </c>
      <c r="BG32" s="2">
        <f t="shared" si="96"/>
        <v>4648167</v>
      </c>
      <c r="BH32" s="2">
        <f>MAX(ROUND(((AR32-AO32)*4433)+AP32,0),ROUND(((AR32-AO32)*4433)+Weightings!B32,0))</f>
        <v>5365057</v>
      </c>
      <c r="BI32" s="174">
        <v>0.3</v>
      </c>
      <c r="BJ32" s="2">
        <f t="shared" si="134"/>
        <v>1609517</v>
      </c>
      <c r="BK32" s="173">
        <v>1578265</v>
      </c>
      <c r="BL32" s="2">
        <f t="shared" si="98"/>
        <v>1578265</v>
      </c>
      <c r="BM32" s="3">
        <f t="shared" si="120"/>
        <v>0.29420000000000002</v>
      </c>
      <c r="BN32" s="1">
        <f t="shared" si="99"/>
        <v>0</v>
      </c>
      <c r="BO32" s="4" t="b">
        <f t="shared" si="100"/>
        <v>0</v>
      </c>
      <c r="BP32" s="5">
        <f t="shared" si="101"/>
        <v>0</v>
      </c>
      <c r="BQ32" s="6">
        <f t="shared" si="102"/>
        <v>0</v>
      </c>
      <c r="BR32" s="4">
        <f t="shared" si="103"/>
        <v>0</v>
      </c>
      <c r="BS32" s="4" t="b">
        <f t="shared" si="104"/>
        <v>1</v>
      </c>
      <c r="BT32" s="4">
        <f t="shared" si="105"/>
        <v>418.15129999999999</v>
      </c>
      <c r="BU32" s="6">
        <f t="shared" si="106"/>
        <v>0.36938500000000002</v>
      </c>
      <c r="BV32" s="1">
        <f t="shared" si="107"/>
        <v>235.6</v>
      </c>
      <c r="BW32" s="1">
        <f t="shared" si="108"/>
        <v>0</v>
      </c>
      <c r="BX32" s="116">
        <v>646</v>
      </c>
      <c r="BY32" s="7">
        <f t="shared" si="121"/>
        <v>0.14000000000000001</v>
      </c>
      <c r="BZ32" s="7">
        <f>IF(ROUND((Weightings!$P$5*BY32^Weightings!$P$6*Weightings!$P$8 ),2)&lt;Weightings!$P$7,Weightings!$P$7,ROUND((Weightings!$P$5*BY32^Weightings!$P$6*Weightings!$P$8 ),2))</f>
        <v>1569.43</v>
      </c>
      <c r="CA32" s="8">
        <f>ROUND(BZ32/Weightings!$M$5,4)</f>
        <v>0.40889999999999999</v>
      </c>
      <c r="CB32" s="1">
        <f t="shared" si="122"/>
        <v>36</v>
      </c>
      <c r="CC32" s="173">
        <v>0</v>
      </c>
      <c r="CD32" s="173">
        <v>0</v>
      </c>
      <c r="CE32" s="173">
        <v>0</v>
      </c>
      <c r="CF32" s="177">
        <v>0</v>
      </c>
      <c r="CG32" s="2">
        <f>AS32*Weightings!$M$5*CF32</f>
        <v>0</v>
      </c>
      <c r="CH32" s="2">
        <f t="shared" si="123"/>
        <v>0</v>
      </c>
      <c r="CI32" s="117">
        <f t="shared" si="111"/>
        <v>0.45600000000000002</v>
      </c>
      <c r="CJ32" s="4">
        <f t="shared" si="112"/>
        <v>1</v>
      </c>
      <c r="CK32" s="1">
        <f t="shared" si="124"/>
        <v>0</v>
      </c>
      <c r="CL32" s="1">
        <f t="shared" si="125"/>
        <v>0</v>
      </c>
      <c r="CM32" s="1">
        <f t="shared" si="126"/>
        <v>21.6</v>
      </c>
      <c r="CN32" s="1">
        <f>IF(ISNA(VLOOKUP($CZ32,'Audit Values'!$A$2:$AE$439,2,FALSE)),'Preliminary SO66'!T29,VLOOKUP($CZ32,'Audit Values'!$A$2:$AE$439,20,FALSE))</f>
        <v>0</v>
      </c>
      <c r="CO32" s="1">
        <f t="shared" si="127"/>
        <v>0</v>
      </c>
      <c r="CP32" s="183">
        <v>0</v>
      </c>
      <c r="CQ32" s="1">
        <f t="shared" si="128"/>
        <v>0</v>
      </c>
      <c r="CR32" s="2">
        <f>IF(ISNA(VLOOKUP($CZ32,'Audit Values'!$A$2:$AE$439,2,FALSE)),'Preliminary SO66'!V29,VLOOKUP($CZ32,'Audit Values'!$A$2:$AE$439,22,FALSE))</f>
        <v>0</v>
      </c>
      <c r="CS32" s="1">
        <f t="shared" si="129"/>
        <v>0</v>
      </c>
      <c r="CT32" s="2">
        <f>IF(ISNA(VLOOKUP($CZ32,'Audit Values'!$A$2:$AE$439,2,FALSE)),'Preliminary SO66'!W29,VLOOKUP($CZ32,'Audit Values'!$A$2:$AE$439,23,FALSE))</f>
        <v>0</v>
      </c>
      <c r="CU32" s="1">
        <f t="shared" si="136"/>
        <v>0</v>
      </c>
      <c r="CV32" s="1">
        <f t="shared" si="137"/>
        <v>0</v>
      </c>
      <c r="CW32" s="176">
        <v>0</v>
      </c>
      <c r="CX32" s="2">
        <f>IF(CW32&gt;0,Weightings!$M$11*AR32,0)</f>
        <v>0</v>
      </c>
      <c r="CY32" s="2">
        <f t="shared" si="130"/>
        <v>0</v>
      </c>
      <c r="CZ32" s="108" t="s">
        <v>324</v>
      </c>
    </row>
    <row r="33" spans="1:104">
      <c r="A33" s="82">
        <v>216</v>
      </c>
      <c r="B33" s="4" t="s">
        <v>18</v>
      </c>
      <c r="C33" s="4" t="s">
        <v>660</v>
      </c>
      <c r="D33" s="1">
        <v>243</v>
      </c>
      <c r="E33" s="1">
        <v>0</v>
      </c>
      <c r="F33" s="1">
        <f t="shared" si="135"/>
        <v>243</v>
      </c>
      <c r="G33" s="1">
        <v>214</v>
      </c>
      <c r="H33" s="1">
        <v>0</v>
      </c>
      <c r="I33" s="1">
        <f t="shared" si="116"/>
        <v>214</v>
      </c>
      <c r="J33" s="1">
        <f t="shared" si="79"/>
        <v>235.3</v>
      </c>
      <c r="K33" s="1">
        <f>IF(ISNA(VLOOKUP($CZ33,'Audit Values'!$A$2:$AE$439,2,FALSE)),'Preliminary SO66'!B30,VLOOKUP($CZ33,'Audit Values'!$A$2:$AE$439,31,FALSE))</f>
        <v>231.5</v>
      </c>
      <c r="L33" s="1">
        <f t="shared" si="80"/>
        <v>231.5</v>
      </c>
      <c r="M33" s="1">
        <f>IF(ISNA(VLOOKUP($CZ33,'Audit Values'!$A$2:$AE$439,2,FALSE)),'Preliminary SO66'!Z30,VLOOKUP($CZ33,'Audit Values'!$A$2:$AE$439,26,FALSE))</f>
        <v>0</v>
      </c>
      <c r="N33" s="1">
        <f t="shared" si="81"/>
        <v>231.5</v>
      </c>
      <c r="O33" s="1">
        <f>IF(ISNA(VLOOKUP($CZ33,'Audit Values'!$A$2:$AE$439,2,FALSE)),'Preliminary SO66'!C30,IF(VLOOKUP($CZ33,'Audit Values'!$A$2:$AE$439,28,FALSE)="",VLOOKUP($CZ33,'Audit Values'!$A$2:$AE$439,3,FALSE),VLOOKUP($CZ33,'Audit Values'!$A$2:$AE$439,28,FALSE)))</f>
        <v>6</v>
      </c>
      <c r="P33" s="109">
        <f t="shared" si="82"/>
        <v>237.5</v>
      </c>
      <c r="Q33" s="110">
        <f t="shared" si="83"/>
        <v>241.3</v>
      </c>
      <c r="R33" s="111">
        <f t="shared" si="84"/>
        <v>241.3</v>
      </c>
      <c r="S33" s="1">
        <f t="shared" si="85"/>
        <v>237.5</v>
      </c>
      <c r="T33" s="1">
        <f t="shared" si="133"/>
        <v>3.8</v>
      </c>
      <c r="U33" s="1">
        <f t="shared" si="87"/>
        <v>154.30000000000001</v>
      </c>
      <c r="V33" s="1">
        <f t="shared" si="88"/>
        <v>154.30000000000001</v>
      </c>
      <c r="W33" s="1">
        <f t="shared" si="89"/>
        <v>0</v>
      </c>
      <c r="X33" s="1">
        <f>IF(ISNA(VLOOKUP($CZ33,'Audit Values'!$A$2:$AE$439,2,FALSE)),'Preliminary SO66'!D30,VLOOKUP($CZ33,'Audit Values'!$A$2:$AE$439,4,FALSE))</f>
        <v>63.4</v>
      </c>
      <c r="Y33" s="1">
        <f>ROUND((X33/6)*Weightings!$M$6,1)</f>
        <v>5.3</v>
      </c>
      <c r="Z33" s="1">
        <f>IF(ISNA(VLOOKUP($CZ33,'Audit Values'!$A$2:$AE$439,2,FALSE)),'Preliminary SO66'!F30,VLOOKUP($CZ33,'Audit Values'!$A$2:$AE$439,6,FALSE))</f>
        <v>491.5</v>
      </c>
      <c r="AA33" s="1">
        <f>ROUND((Z33/6)*Weightings!$M$7,1)</f>
        <v>32.4</v>
      </c>
      <c r="AB33" s="2">
        <f>IF(ISNA(VLOOKUP($CZ33,'Audit Values'!$A$2:$AE$439,2,FALSE)),'Preliminary SO66'!H30,VLOOKUP($CZ33,'Audit Values'!$A$2:$AE$439,8,FALSE))</f>
        <v>167</v>
      </c>
      <c r="AC33" s="1">
        <f>ROUND(AB33*Weightings!$M$8,1)</f>
        <v>76.2</v>
      </c>
      <c r="AD33" s="1">
        <f t="shared" si="117"/>
        <v>17.5</v>
      </c>
      <c r="AE33" s="185">
        <v>19</v>
      </c>
      <c r="AF33" s="1">
        <f>AE33*Weightings!$M$9</f>
        <v>0.9</v>
      </c>
      <c r="AG33" s="1">
        <f>IF(ISNA(VLOOKUP($CZ33,'Audit Values'!$A$2:$AE$439,2,FALSE)),'Preliminary SO66'!L30,VLOOKUP($CZ33,'Audit Values'!$A$2:$AE$439,12,FALSE))</f>
        <v>0</v>
      </c>
      <c r="AH33" s="1">
        <f>ROUND(AG33*Weightings!$M$10,1)</f>
        <v>0</v>
      </c>
      <c r="AI33" s="1">
        <f>IF(ISNA(VLOOKUP($CZ33,'Audit Values'!$A$2:$AE$439,2,FALSE)),'Preliminary SO66'!O30,VLOOKUP($CZ33,'Audit Values'!$A$2:$AE$439,15,FALSE))</f>
        <v>22</v>
      </c>
      <c r="AJ33" s="1">
        <f t="shared" si="90"/>
        <v>9.6999999999999993</v>
      </c>
      <c r="AK33" s="1">
        <f>CC33/Weightings!$M$5</f>
        <v>0</v>
      </c>
      <c r="AL33" s="1">
        <f>CD33/Weightings!$M$5</f>
        <v>0</v>
      </c>
      <c r="AM33" s="1">
        <f>CH33/Weightings!$M$5</f>
        <v>0</v>
      </c>
      <c r="AN33" s="1">
        <f t="shared" si="118"/>
        <v>4</v>
      </c>
      <c r="AO33" s="1">
        <f>IF(ISNA(VLOOKUP($CZ33,'Audit Values'!$A$2:$AE$439,2,FALSE)),'Preliminary SO66'!X30,VLOOKUP($CZ33,'Audit Values'!$A$2:$AE$439,24,FALSE))</f>
        <v>0</v>
      </c>
      <c r="AP33" s="188">
        <v>140779</v>
      </c>
      <c r="AQ33" s="113">
        <f>AP33/Weightings!$M$5</f>
        <v>36.700000000000003</v>
      </c>
      <c r="AR33" s="113">
        <f t="shared" si="91"/>
        <v>537.79999999999995</v>
      </c>
      <c r="AS33" s="1">
        <f t="shared" si="92"/>
        <v>574.5</v>
      </c>
      <c r="AT33" s="1">
        <f t="shared" si="93"/>
        <v>574.5</v>
      </c>
      <c r="AU33" s="2">
        <f t="shared" si="119"/>
        <v>0</v>
      </c>
      <c r="AV33" s="82">
        <f>IF(ISNA(VLOOKUP($CZ33,'Audit Values'!$A$2:$AC$360,2,FALSE)),"",IF(AND(Weightings!H33&gt;0,VLOOKUP($CZ33,'Audit Values'!$A$2:$AC$360,29,FALSE)&lt;Weightings!H33),Weightings!H33,VLOOKUP($CZ33,'Audit Values'!$A$2:$AC$360,29,FALSE)))</f>
        <v>22</v>
      </c>
      <c r="AW33" s="82" t="str">
        <f>IF(ISNA(VLOOKUP($CZ33,'Audit Values'!$A$2:$AD$360,2,FALSE)),"",VLOOKUP($CZ33,'Audit Values'!$A$2:$AD$360,30,FALSE))</f>
        <v>A</v>
      </c>
      <c r="AX33" s="82" t="str">
        <f>IF(Weightings!G33="","",IF(Weightings!I33="Pending","PX","R"))</f>
        <v/>
      </c>
      <c r="AY33" s="114">
        <f>AR33*Weightings!$M$5+AU33</f>
        <v>2064076</v>
      </c>
      <c r="AZ33" s="2">
        <f>AT33*Weightings!$M$5+AU33</f>
        <v>2204931</v>
      </c>
      <c r="BA33" s="2">
        <f>IF(Weightings!G33&gt;0,Weightings!G33,'Preliminary SO66'!AB30)</f>
        <v>2279772</v>
      </c>
      <c r="BB33" s="2">
        <f t="shared" si="94"/>
        <v>2204931</v>
      </c>
      <c r="BC33" s="124"/>
      <c r="BD33" s="124">
        <f>Weightings!E33</f>
        <v>0</v>
      </c>
      <c r="BE33" s="124">
        <f>Weightings!F33</f>
        <v>0</v>
      </c>
      <c r="BF33" s="2">
        <f t="shared" si="95"/>
        <v>0</v>
      </c>
      <c r="BG33" s="2">
        <f t="shared" si="96"/>
        <v>2204931</v>
      </c>
      <c r="BH33" s="2">
        <f>MAX(ROUND(((AR33-AO33)*4433)+AP33,0),ROUND(((AR33-AO33)*4433)+Weightings!B33,0))</f>
        <v>2589956</v>
      </c>
      <c r="BI33" s="174">
        <v>0.3</v>
      </c>
      <c r="BJ33" s="2">
        <f t="shared" si="134"/>
        <v>776987</v>
      </c>
      <c r="BK33" s="173">
        <v>803186</v>
      </c>
      <c r="BL33" s="2">
        <f t="shared" si="98"/>
        <v>776987</v>
      </c>
      <c r="BM33" s="3">
        <f t="shared" si="120"/>
        <v>0.3</v>
      </c>
      <c r="BN33" s="1">
        <f t="shared" si="99"/>
        <v>0</v>
      </c>
      <c r="BO33" s="4" t="b">
        <f t="shared" si="100"/>
        <v>1</v>
      </c>
      <c r="BP33" s="5">
        <f t="shared" si="101"/>
        <v>1327.5630000000001</v>
      </c>
      <c r="BQ33" s="6">
        <f t="shared" si="102"/>
        <v>0.64985599999999999</v>
      </c>
      <c r="BR33" s="4">
        <f t="shared" si="103"/>
        <v>154.30000000000001</v>
      </c>
      <c r="BS33" s="4" t="b">
        <f t="shared" si="104"/>
        <v>0</v>
      </c>
      <c r="BT33" s="4">
        <f t="shared" si="105"/>
        <v>0</v>
      </c>
      <c r="BU33" s="6">
        <f t="shared" si="106"/>
        <v>0</v>
      </c>
      <c r="BV33" s="1">
        <f t="shared" si="107"/>
        <v>0</v>
      </c>
      <c r="BW33" s="1">
        <f t="shared" si="108"/>
        <v>0</v>
      </c>
      <c r="BX33" s="116">
        <v>216</v>
      </c>
      <c r="BY33" s="7">
        <f t="shared" si="121"/>
        <v>0.1</v>
      </c>
      <c r="BZ33" s="7">
        <f>IF(ROUND((Weightings!$P$5*BY33^Weightings!$P$6*Weightings!$P$8 ),2)&lt;Weightings!$P$7,Weightings!$P$7,ROUND((Weightings!$P$5*BY33^Weightings!$P$6*Weightings!$P$8 ),2))</f>
        <v>1694.63</v>
      </c>
      <c r="CA33" s="8">
        <f>ROUND(BZ33/Weightings!$M$5,4)</f>
        <v>0.4415</v>
      </c>
      <c r="CB33" s="1">
        <f t="shared" si="122"/>
        <v>9.6999999999999993</v>
      </c>
      <c r="CC33" s="173">
        <v>0</v>
      </c>
      <c r="CD33" s="173">
        <v>0</v>
      </c>
      <c r="CE33" s="173">
        <v>0</v>
      </c>
      <c r="CF33" s="177">
        <v>0</v>
      </c>
      <c r="CG33" s="2">
        <f>AS33*Weightings!$M$5*CF33</f>
        <v>0</v>
      </c>
      <c r="CH33" s="2">
        <f t="shared" si="123"/>
        <v>0</v>
      </c>
      <c r="CI33" s="117">
        <f t="shared" si="111"/>
        <v>0.70299999999999996</v>
      </c>
      <c r="CJ33" s="4">
        <f t="shared" si="112"/>
        <v>1.1000000000000001</v>
      </c>
      <c r="CK33" s="1">
        <f t="shared" si="124"/>
        <v>17.5</v>
      </c>
      <c r="CL33" s="1">
        <f t="shared" si="125"/>
        <v>0</v>
      </c>
      <c r="CM33" s="1">
        <f t="shared" si="126"/>
        <v>0</v>
      </c>
      <c r="CN33" s="1">
        <f>IF(ISNA(VLOOKUP($CZ33,'Audit Values'!$A$2:$AE$439,2,FALSE)),'Preliminary SO66'!T30,VLOOKUP($CZ33,'Audit Values'!$A$2:$AE$439,20,FALSE))</f>
        <v>3.8</v>
      </c>
      <c r="CO33" s="1">
        <f t="shared" si="127"/>
        <v>4</v>
      </c>
      <c r="CP33" s="183">
        <v>0</v>
      </c>
      <c r="CQ33" s="1">
        <f t="shared" si="128"/>
        <v>0</v>
      </c>
      <c r="CR33" s="2">
        <f>IF(ISNA(VLOOKUP($CZ33,'Audit Values'!$A$2:$AE$439,2,FALSE)),'Preliminary SO66'!V30,VLOOKUP($CZ33,'Audit Values'!$A$2:$AE$439,22,FALSE))</f>
        <v>0</v>
      </c>
      <c r="CS33" s="1">
        <f t="shared" si="129"/>
        <v>0</v>
      </c>
      <c r="CT33" s="2">
        <f>IF(ISNA(VLOOKUP($CZ33,'Audit Values'!$A$2:$AE$439,2,FALSE)),'Preliminary SO66'!W30,VLOOKUP($CZ33,'Audit Values'!$A$2:$AE$439,23,FALSE))</f>
        <v>0</v>
      </c>
      <c r="CU33" s="1">
        <f t="shared" si="136"/>
        <v>0</v>
      </c>
      <c r="CV33" s="1">
        <f t="shared" si="137"/>
        <v>4</v>
      </c>
      <c r="CW33" s="176">
        <v>0</v>
      </c>
      <c r="CX33" s="2">
        <f>IF(CW33&gt;0,Weightings!$M$11*AR33,0)</f>
        <v>0</v>
      </c>
      <c r="CY33" s="2">
        <f t="shared" si="130"/>
        <v>0</v>
      </c>
      <c r="CZ33" s="108" t="s">
        <v>325</v>
      </c>
    </row>
    <row r="34" spans="1:104">
      <c r="A34" s="82">
        <v>217</v>
      </c>
      <c r="B34" s="4" t="s">
        <v>19</v>
      </c>
      <c r="C34" s="4" t="s">
        <v>661</v>
      </c>
      <c r="D34" s="1">
        <v>171.5</v>
      </c>
      <c r="E34" s="1">
        <v>0</v>
      </c>
      <c r="F34" s="1">
        <f t="shared" si="135"/>
        <v>171.5</v>
      </c>
      <c r="G34" s="1">
        <v>182.4</v>
      </c>
      <c r="H34" s="1">
        <v>0</v>
      </c>
      <c r="I34" s="1">
        <f t="shared" si="116"/>
        <v>182.4</v>
      </c>
      <c r="J34" s="1">
        <f t="shared" si="79"/>
        <v>177.8</v>
      </c>
      <c r="K34" s="1">
        <f>IF(ISNA(VLOOKUP($CZ34,'Audit Values'!$A$2:$AE$439,2,FALSE)),'Preliminary SO66'!B31,VLOOKUP($CZ34,'Audit Values'!$A$2:$AE$439,31,FALSE))</f>
        <v>176.4</v>
      </c>
      <c r="L34" s="1">
        <f t="shared" si="80"/>
        <v>182.4</v>
      </c>
      <c r="M34" s="1">
        <f>IF(ISNA(VLOOKUP($CZ34,'Audit Values'!$A$2:$AE$439,2,FALSE)),'Preliminary SO66'!Z31,VLOOKUP($CZ34,'Audit Values'!$A$2:$AE$439,26,FALSE))</f>
        <v>0</v>
      </c>
      <c r="N34" s="1">
        <f t="shared" si="81"/>
        <v>182.4</v>
      </c>
      <c r="O34" s="1">
        <f>IF(ISNA(VLOOKUP($CZ34,'Audit Values'!$A$2:$AE$439,2,FALSE)),'Preliminary SO66'!C31,IF(VLOOKUP($CZ34,'Audit Values'!$A$2:$AE$439,28,FALSE)="",VLOOKUP($CZ34,'Audit Values'!$A$2:$AE$439,3,FALSE),VLOOKUP($CZ34,'Audit Values'!$A$2:$AE$439,28,FALSE)))</f>
        <v>0</v>
      </c>
      <c r="P34" s="109">
        <f t="shared" si="82"/>
        <v>176.4</v>
      </c>
      <c r="Q34" s="110">
        <f t="shared" si="83"/>
        <v>177.8</v>
      </c>
      <c r="R34" s="111">
        <f t="shared" si="84"/>
        <v>177.8</v>
      </c>
      <c r="S34" s="1">
        <f t="shared" si="85"/>
        <v>182.4</v>
      </c>
      <c r="T34" s="1">
        <f t="shared" si="133"/>
        <v>1.4</v>
      </c>
      <c r="U34" s="1">
        <f t="shared" si="87"/>
        <v>145.19999999999999</v>
      </c>
      <c r="V34" s="1">
        <f t="shared" si="88"/>
        <v>145.19999999999999</v>
      </c>
      <c r="W34" s="1">
        <f t="shared" si="89"/>
        <v>0</v>
      </c>
      <c r="X34" s="1">
        <f>IF(ISNA(VLOOKUP($CZ34,'Audit Values'!$A$2:$AE$439,2,FALSE)),'Preliminary SO66'!D31,VLOOKUP($CZ34,'Audit Values'!$A$2:$AE$439,4,FALSE))</f>
        <v>66.7</v>
      </c>
      <c r="Y34" s="1">
        <f>ROUND((X34/6)*Weightings!$M$6,1)</f>
        <v>5.6</v>
      </c>
      <c r="Z34" s="1">
        <f>IF(ISNA(VLOOKUP($CZ34,'Audit Values'!$A$2:$AE$439,2,FALSE)),'Preliminary SO66'!F31,VLOOKUP($CZ34,'Audit Values'!$A$2:$AE$439,6,FALSE))</f>
        <v>194.5</v>
      </c>
      <c r="AA34" s="1">
        <f>ROUND((Z34/6)*Weightings!$M$7,1)</f>
        <v>12.8</v>
      </c>
      <c r="AB34" s="2">
        <f>IF(ISNA(VLOOKUP($CZ34,'Audit Values'!$A$2:$AE$439,2,FALSE)),'Preliminary SO66'!H31,VLOOKUP($CZ34,'Audit Values'!$A$2:$AE$439,8,FALSE))</f>
        <v>62</v>
      </c>
      <c r="AC34" s="1">
        <f>ROUND(AB34*Weightings!$M$8,1)</f>
        <v>28.3</v>
      </c>
      <c r="AD34" s="1">
        <f t="shared" si="117"/>
        <v>0</v>
      </c>
      <c r="AE34" s="185">
        <v>16</v>
      </c>
      <c r="AF34" s="1">
        <f>AE34*Weightings!$M$9</f>
        <v>0.7</v>
      </c>
      <c r="AG34" s="1">
        <f>IF(ISNA(VLOOKUP($CZ34,'Audit Values'!$A$2:$AE$439,2,FALSE)),'Preliminary SO66'!L31,VLOOKUP($CZ34,'Audit Values'!$A$2:$AE$439,12,FALSE))</f>
        <v>0</v>
      </c>
      <c r="AH34" s="1">
        <f>ROUND(AG34*Weightings!$M$10,1)</f>
        <v>0</v>
      </c>
      <c r="AI34" s="1">
        <f>IF(ISNA(VLOOKUP($CZ34,'Audit Values'!$A$2:$AE$439,2,FALSE)),'Preliminary SO66'!O31,VLOOKUP($CZ34,'Audit Values'!$A$2:$AE$439,15,FALSE))</f>
        <v>37</v>
      </c>
      <c r="AJ34" s="1">
        <f t="shared" si="90"/>
        <v>14.9</v>
      </c>
      <c r="AK34" s="1">
        <f>CC34/Weightings!$M$5</f>
        <v>0</v>
      </c>
      <c r="AL34" s="1">
        <f>CD34/Weightings!$M$5</f>
        <v>0</v>
      </c>
      <c r="AM34" s="1">
        <f>CH34/Weightings!$M$5</f>
        <v>0</v>
      </c>
      <c r="AN34" s="1">
        <f t="shared" si="118"/>
        <v>1.5</v>
      </c>
      <c r="AO34" s="1">
        <f>IF(ISNA(VLOOKUP($CZ34,'Audit Values'!$A$2:$AE$439,2,FALSE)),'Preliminary SO66'!X31,VLOOKUP($CZ34,'Audit Values'!$A$2:$AE$439,24,FALSE))</f>
        <v>0</v>
      </c>
      <c r="AP34" s="188">
        <v>119459</v>
      </c>
      <c r="AQ34" s="113">
        <f>AP34/Weightings!$M$5</f>
        <v>31.1</v>
      </c>
      <c r="AR34" s="113">
        <f t="shared" si="91"/>
        <v>391.4</v>
      </c>
      <c r="AS34" s="1">
        <f t="shared" si="92"/>
        <v>422.5</v>
      </c>
      <c r="AT34" s="1">
        <f t="shared" si="93"/>
        <v>422.5</v>
      </c>
      <c r="AU34" s="2">
        <f t="shared" si="119"/>
        <v>0</v>
      </c>
      <c r="AV34" s="82">
        <f>IF(ISNA(VLOOKUP($CZ34,'Audit Values'!$A$2:$AC$360,2,FALSE)),"",IF(AND(Weightings!H34&gt;0,VLOOKUP($CZ34,'Audit Values'!$A$2:$AC$360,29,FALSE)&lt;Weightings!H34),Weightings!H34,VLOOKUP($CZ34,'Audit Values'!$A$2:$AC$360,29,FALSE)))</f>
        <v>2</v>
      </c>
      <c r="AW34" s="82" t="str">
        <f>IF(ISNA(VLOOKUP($CZ34,'Audit Values'!$A$2:$AD$360,2,FALSE)),"",VLOOKUP($CZ34,'Audit Values'!$A$2:$AD$360,30,FALSE))</f>
        <v>A</v>
      </c>
      <c r="AX34" s="82" t="str">
        <f>IF(Weightings!G34="","",IF(Weightings!I34="Pending","PX","R"))</f>
        <v/>
      </c>
      <c r="AY34" s="114">
        <f>AR34*Weightings!$M$5+AU34</f>
        <v>1502193</v>
      </c>
      <c r="AZ34" s="2">
        <f>AT34*Weightings!$M$5+AU34</f>
        <v>1621555</v>
      </c>
      <c r="BA34" s="2">
        <f>IF(Weightings!G34&gt;0,Weightings!G34,'Preliminary SO66'!AB31)</f>
        <v>1633069</v>
      </c>
      <c r="BB34" s="2">
        <f t="shared" si="94"/>
        <v>1621555</v>
      </c>
      <c r="BC34" s="124"/>
      <c r="BD34" s="124">
        <f>Weightings!E34</f>
        <v>-2907</v>
      </c>
      <c r="BE34" s="124">
        <f>Weightings!F34</f>
        <v>0</v>
      </c>
      <c r="BF34" s="2">
        <f t="shared" si="95"/>
        <v>-2907</v>
      </c>
      <c r="BG34" s="2">
        <f t="shared" si="96"/>
        <v>1618648</v>
      </c>
      <c r="BH34" s="2">
        <f>MAX(ROUND(((AR34-AO34)*4433)+AP34,0),ROUND(((AR34-AO34)*4433)+Weightings!B34,0))</f>
        <v>1881416</v>
      </c>
      <c r="BI34" s="174">
        <v>0.3</v>
      </c>
      <c r="BJ34" s="2">
        <f t="shared" si="134"/>
        <v>564425</v>
      </c>
      <c r="BK34" s="173">
        <v>568814</v>
      </c>
      <c r="BL34" s="2">
        <f t="shared" si="98"/>
        <v>564425</v>
      </c>
      <c r="BM34" s="3">
        <f t="shared" si="120"/>
        <v>0.3</v>
      </c>
      <c r="BN34" s="1">
        <f t="shared" si="99"/>
        <v>0</v>
      </c>
      <c r="BO34" s="4" t="b">
        <f t="shared" si="100"/>
        <v>1</v>
      </c>
      <c r="BP34" s="5">
        <f t="shared" si="101"/>
        <v>795.572</v>
      </c>
      <c r="BQ34" s="6">
        <f t="shared" si="102"/>
        <v>0.79591100000000004</v>
      </c>
      <c r="BR34" s="4">
        <f t="shared" si="103"/>
        <v>145.19999999999999</v>
      </c>
      <c r="BS34" s="4" t="b">
        <f t="shared" si="104"/>
        <v>0</v>
      </c>
      <c r="BT34" s="4">
        <f t="shared" si="105"/>
        <v>0</v>
      </c>
      <c r="BU34" s="6">
        <f t="shared" si="106"/>
        <v>0</v>
      </c>
      <c r="BV34" s="1">
        <f t="shared" si="107"/>
        <v>0</v>
      </c>
      <c r="BW34" s="1">
        <f t="shared" si="108"/>
        <v>0</v>
      </c>
      <c r="BX34" s="116">
        <v>252</v>
      </c>
      <c r="BY34" s="7">
        <f t="shared" si="121"/>
        <v>0.15</v>
      </c>
      <c r="BZ34" s="7">
        <f>IF(ROUND((Weightings!$P$5*BY34^Weightings!$P$6*Weightings!$P$8 ),2)&lt;Weightings!$P$7,Weightings!$P$7,ROUND((Weightings!$P$5*BY34^Weightings!$P$6*Weightings!$P$8 ),2))</f>
        <v>1544.93</v>
      </c>
      <c r="CA34" s="8">
        <f>ROUND(BZ34/Weightings!$M$5,4)</f>
        <v>0.40250000000000002</v>
      </c>
      <c r="CB34" s="1">
        <f t="shared" si="122"/>
        <v>14.9</v>
      </c>
      <c r="CC34" s="173">
        <v>0</v>
      </c>
      <c r="CD34" s="173">
        <v>0</v>
      </c>
      <c r="CE34" s="173">
        <v>0</v>
      </c>
      <c r="CF34" s="177">
        <v>0</v>
      </c>
      <c r="CG34" s="2">
        <f>AS34*Weightings!$M$5*CF34</f>
        <v>0</v>
      </c>
      <c r="CH34" s="2">
        <f t="shared" si="123"/>
        <v>0</v>
      </c>
      <c r="CI34" s="117">
        <f t="shared" si="111"/>
        <v>0.34</v>
      </c>
      <c r="CJ34" s="4">
        <f t="shared" si="112"/>
        <v>0.7</v>
      </c>
      <c r="CK34" s="1">
        <f t="shared" si="124"/>
        <v>0</v>
      </c>
      <c r="CL34" s="1">
        <f t="shared" si="125"/>
        <v>0</v>
      </c>
      <c r="CM34" s="1">
        <f t="shared" si="126"/>
        <v>0</v>
      </c>
      <c r="CN34" s="1">
        <f>IF(ISNA(VLOOKUP($CZ34,'Audit Values'!$A$2:$AE$439,2,FALSE)),'Preliminary SO66'!T31,VLOOKUP($CZ34,'Audit Values'!$A$2:$AE$439,20,FALSE))</f>
        <v>1.4</v>
      </c>
      <c r="CO34" s="1">
        <f t="shared" si="127"/>
        <v>1.5</v>
      </c>
      <c r="CP34" s="183">
        <v>0</v>
      </c>
      <c r="CQ34" s="1">
        <f t="shared" si="128"/>
        <v>0</v>
      </c>
      <c r="CR34" s="2">
        <f>IF(ISNA(VLOOKUP($CZ34,'Audit Values'!$A$2:$AE$439,2,FALSE)),'Preliminary SO66'!V31,VLOOKUP($CZ34,'Audit Values'!$A$2:$AE$439,22,FALSE))</f>
        <v>0</v>
      </c>
      <c r="CS34" s="1">
        <f t="shared" si="129"/>
        <v>0</v>
      </c>
      <c r="CT34" s="2">
        <f>IF(ISNA(VLOOKUP($CZ34,'Audit Values'!$A$2:$AE$439,2,FALSE)),'Preliminary SO66'!W31,VLOOKUP($CZ34,'Audit Values'!$A$2:$AE$439,23,FALSE))</f>
        <v>0</v>
      </c>
      <c r="CU34" s="1">
        <f t="shared" si="136"/>
        <v>0</v>
      </c>
      <c r="CV34" s="1">
        <f t="shared" si="137"/>
        <v>1.5</v>
      </c>
      <c r="CW34" s="176">
        <v>0</v>
      </c>
      <c r="CX34" s="2">
        <f>IF(CW34&gt;0,Weightings!$M$11*AR34,0)</f>
        <v>0</v>
      </c>
      <c r="CY34" s="2">
        <f t="shared" si="130"/>
        <v>0</v>
      </c>
      <c r="CZ34" s="108" t="s">
        <v>326</v>
      </c>
    </row>
    <row r="35" spans="1:104">
      <c r="A35" s="82">
        <v>218</v>
      </c>
      <c r="B35" s="4" t="s">
        <v>19</v>
      </c>
      <c r="C35" s="4" t="s">
        <v>662</v>
      </c>
      <c r="D35" s="1">
        <v>497.1</v>
      </c>
      <c r="E35" s="1">
        <v>0</v>
      </c>
      <c r="F35" s="1">
        <f t="shared" si="135"/>
        <v>497.1</v>
      </c>
      <c r="G35" s="1">
        <v>489.4</v>
      </c>
      <c r="H35" s="1">
        <v>0</v>
      </c>
      <c r="I35" s="1">
        <f t="shared" si="116"/>
        <v>489.4</v>
      </c>
      <c r="J35" s="1">
        <f t="shared" si="79"/>
        <v>1128.5</v>
      </c>
      <c r="K35" s="1">
        <f>IF(ISNA(VLOOKUP($CZ35,'Audit Values'!$A$2:$AE$439,2,FALSE)),'Preliminary SO66'!B32,VLOOKUP($CZ35,'Audit Values'!$A$2:$AE$439,31,FALSE))</f>
        <v>494.1</v>
      </c>
      <c r="L35" s="1">
        <f t="shared" si="80"/>
        <v>494.1</v>
      </c>
      <c r="M35" s="1">
        <f>IF(ISNA(VLOOKUP($CZ35,'Audit Values'!$A$2:$AE$439,2,FALSE)),'Preliminary SO66'!Z32,VLOOKUP($CZ35,'Audit Values'!$A$2:$AE$439,26,FALSE))</f>
        <v>0</v>
      </c>
      <c r="N35" s="1">
        <f t="shared" si="81"/>
        <v>494.1</v>
      </c>
      <c r="O35" s="1">
        <f>IF(ISNA(VLOOKUP($CZ35,'Audit Values'!$A$2:$AE$439,2,FALSE)),'Preliminary SO66'!C32,IF(VLOOKUP($CZ35,'Audit Values'!$A$2:$AE$439,28,FALSE)="",VLOOKUP($CZ35,'Audit Values'!$A$2:$AE$439,3,FALSE),VLOOKUP($CZ35,'Audit Values'!$A$2:$AE$439,28,FALSE)))</f>
        <v>8.5</v>
      </c>
      <c r="P35" s="109">
        <f t="shared" si="82"/>
        <v>502.6</v>
      </c>
      <c r="Q35" s="110">
        <f t="shared" si="83"/>
        <v>1137</v>
      </c>
      <c r="R35" s="111">
        <f t="shared" si="84"/>
        <v>1137</v>
      </c>
      <c r="S35" s="1">
        <f t="shared" si="85"/>
        <v>502.6</v>
      </c>
      <c r="T35" s="1">
        <f t="shared" si="133"/>
        <v>634.4</v>
      </c>
      <c r="U35" s="1">
        <f t="shared" si="87"/>
        <v>208.8</v>
      </c>
      <c r="V35" s="1">
        <f t="shared" si="88"/>
        <v>208.8</v>
      </c>
      <c r="W35" s="1">
        <f t="shared" si="89"/>
        <v>0</v>
      </c>
      <c r="X35" s="1">
        <f>IF(ISNA(VLOOKUP($CZ35,'Audit Values'!$A$2:$AE$439,2,FALSE)),'Preliminary SO66'!D32,VLOOKUP($CZ35,'Audit Values'!$A$2:$AE$439,4,FALSE))</f>
        <v>92.7</v>
      </c>
      <c r="Y35" s="1">
        <f>ROUND((X35/6)*Weightings!$M$6,1)</f>
        <v>7.7</v>
      </c>
      <c r="Z35" s="1">
        <f>IF(ISNA(VLOOKUP($CZ35,'Audit Values'!$A$2:$AE$439,2,FALSE)),'Preliminary SO66'!F32,VLOOKUP($CZ35,'Audit Values'!$A$2:$AE$439,6,FALSE))</f>
        <v>464.4</v>
      </c>
      <c r="AA35" s="1">
        <f>ROUND((Z35/6)*Weightings!$M$7,1)</f>
        <v>30.6</v>
      </c>
      <c r="AB35" s="2">
        <f>IF(ISNA(VLOOKUP($CZ35,'Audit Values'!$A$2:$AE$439,2,FALSE)),'Preliminary SO66'!H32,VLOOKUP($CZ35,'Audit Values'!$A$2:$AE$439,8,FALSE))</f>
        <v>247</v>
      </c>
      <c r="AC35" s="1">
        <f>ROUND(AB35*Weightings!$M$8,1)</f>
        <v>112.6</v>
      </c>
      <c r="AD35" s="1">
        <f t="shared" si="117"/>
        <v>24.4</v>
      </c>
      <c r="AE35" s="185">
        <v>23</v>
      </c>
      <c r="AF35" s="1">
        <f>AE35*Weightings!$M$9</f>
        <v>1.1000000000000001</v>
      </c>
      <c r="AG35" s="1">
        <f>IF(ISNA(VLOOKUP($CZ35,'Audit Values'!$A$2:$AE$439,2,FALSE)),'Preliminary SO66'!L32,VLOOKUP($CZ35,'Audit Values'!$A$2:$AE$439,12,FALSE))</f>
        <v>0</v>
      </c>
      <c r="AH35" s="1">
        <f>ROUND(AG35*Weightings!$M$10,1)</f>
        <v>0</v>
      </c>
      <c r="AI35" s="1">
        <f>IF(ISNA(VLOOKUP($CZ35,'Audit Values'!$A$2:$AE$439,2,FALSE)),'Preliminary SO66'!O32,VLOOKUP($CZ35,'Audit Values'!$A$2:$AE$439,15,FALSE))</f>
        <v>34</v>
      </c>
      <c r="AJ35" s="1">
        <f t="shared" si="90"/>
        <v>15.4</v>
      </c>
      <c r="AK35" s="1">
        <f>CC35/Weightings!$M$5</f>
        <v>0</v>
      </c>
      <c r="AL35" s="1">
        <f>CD35/Weightings!$M$5</f>
        <v>0</v>
      </c>
      <c r="AM35" s="1">
        <f>CH35/Weightings!$M$5</f>
        <v>0</v>
      </c>
      <c r="AN35" s="1">
        <f t="shared" si="118"/>
        <v>688.9</v>
      </c>
      <c r="AO35" s="1">
        <f>IF(ISNA(VLOOKUP($CZ35,'Audit Values'!$A$2:$AE$439,2,FALSE)),'Preliminary SO66'!X32,VLOOKUP($CZ35,'Audit Values'!$A$2:$AE$439,24,FALSE))</f>
        <v>0</v>
      </c>
      <c r="AP35" s="188">
        <v>292176</v>
      </c>
      <c r="AQ35" s="113">
        <f>AP35/Weightings!$M$5</f>
        <v>76.099999999999994</v>
      </c>
      <c r="AR35" s="113">
        <f t="shared" si="91"/>
        <v>1592.1</v>
      </c>
      <c r="AS35" s="1">
        <f t="shared" si="92"/>
        <v>1668.2</v>
      </c>
      <c r="AT35" s="1">
        <f t="shared" si="93"/>
        <v>1668.2</v>
      </c>
      <c r="AU35" s="2">
        <f t="shared" si="119"/>
        <v>0</v>
      </c>
      <c r="AV35" s="82">
        <f>IF(ISNA(VLOOKUP($CZ35,'Audit Values'!$A$2:$AC$360,2,FALSE)),"",IF(AND(Weightings!H35&gt;0,VLOOKUP($CZ35,'Audit Values'!$A$2:$AC$360,29,FALSE)&lt;Weightings!H35),Weightings!H35,VLOOKUP($CZ35,'Audit Values'!$A$2:$AC$360,29,FALSE)))</f>
        <v>24</v>
      </c>
      <c r="AW35" s="82" t="str">
        <f>IF(ISNA(VLOOKUP($CZ35,'Audit Values'!$A$2:$AD$360,2,FALSE)),"",VLOOKUP($CZ35,'Audit Values'!$A$2:$AD$360,30,FALSE))</f>
        <v>A</v>
      </c>
      <c r="AX35" s="82" t="str">
        <f>IF(Weightings!G35="","",IF(Weightings!I35="Pending","PX","R"))</f>
        <v/>
      </c>
      <c r="AY35" s="114">
        <f>AR35*Weightings!$M$5+AU35</f>
        <v>6110480</v>
      </c>
      <c r="AZ35" s="2">
        <f>AT35*Weightings!$M$5+AU35</f>
        <v>6402552</v>
      </c>
      <c r="BA35" s="2">
        <f>IF(Weightings!G35&gt;0,Weightings!G35,'Preliminary SO66'!AB32)</f>
        <v>6832791</v>
      </c>
      <c r="BB35" s="2">
        <f t="shared" si="94"/>
        <v>6402552</v>
      </c>
      <c r="BC35" s="124"/>
      <c r="BD35" s="124">
        <f>Weightings!E35</f>
        <v>0</v>
      </c>
      <c r="BE35" s="124">
        <f>Weightings!F35</f>
        <v>0</v>
      </c>
      <c r="BF35" s="2">
        <f t="shared" si="95"/>
        <v>0</v>
      </c>
      <c r="BG35" s="2">
        <f t="shared" si="96"/>
        <v>6402552</v>
      </c>
      <c r="BH35" s="2">
        <f>MAX(ROUND(((AR35-AO35)*4433)+AP35,0),ROUND(((AR35-AO35)*4433)+Weightings!B35,0))</f>
        <v>7448568</v>
      </c>
      <c r="BI35" s="174">
        <v>0.3</v>
      </c>
      <c r="BJ35" s="2">
        <f t="shared" si="134"/>
        <v>2234570</v>
      </c>
      <c r="BK35" s="173">
        <v>2372747</v>
      </c>
      <c r="BL35" s="2">
        <f t="shared" si="98"/>
        <v>2234570</v>
      </c>
      <c r="BM35" s="3">
        <f t="shared" si="120"/>
        <v>0.3</v>
      </c>
      <c r="BN35" s="1">
        <f t="shared" si="99"/>
        <v>0</v>
      </c>
      <c r="BO35" s="4" t="b">
        <f t="shared" si="100"/>
        <v>0</v>
      </c>
      <c r="BP35" s="5">
        <f t="shared" si="101"/>
        <v>0</v>
      </c>
      <c r="BQ35" s="6">
        <f t="shared" si="102"/>
        <v>0</v>
      </c>
      <c r="BR35" s="4">
        <f t="shared" si="103"/>
        <v>0</v>
      </c>
      <c r="BS35" s="4" t="b">
        <f t="shared" si="104"/>
        <v>1</v>
      </c>
      <c r="BT35" s="4">
        <f t="shared" si="105"/>
        <v>250.7175</v>
      </c>
      <c r="BU35" s="6">
        <f t="shared" si="106"/>
        <v>0.41535300000000003</v>
      </c>
      <c r="BV35" s="1">
        <f t="shared" si="107"/>
        <v>208.8</v>
      </c>
      <c r="BW35" s="1">
        <f t="shared" si="108"/>
        <v>0</v>
      </c>
      <c r="BX35" s="116">
        <v>376</v>
      </c>
      <c r="BY35" s="7">
        <f t="shared" si="121"/>
        <v>0.09</v>
      </c>
      <c r="BZ35" s="7">
        <f>IF(ROUND((Weightings!$P$5*BY35^Weightings!$P$6*Weightings!$P$8 ),2)&lt;Weightings!$P$7,Weightings!$P$7,ROUND((Weightings!$P$5*BY35^Weightings!$P$6*Weightings!$P$8 ),2))</f>
        <v>1735.85</v>
      </c>
      <c r="CA35" s="8">
        <f>ROUND(BZ35/Weightings!$M$5,4)</f>
        <v>0.45229999999999998</v>
      </c>
      <c r="CB35" s="1">
        <f t="shared" si="122"/>
        <v>15.4</v>
      </c>
      <c r="CC35" s="173">
        <v>0</v>
      </c>
      <c r="CD35" s="173">
        <v>0</v>
      </c>
      <c r="CE35" s="173">
        <v>0</v>
      </c>
      <c r="CF35" s="177">
        <v>0</v>
      </c>
      <c r="CG35" s="2">
        <f>AS35*Weightings!$M$5*CF35</f>
        <v>0</v>
      </c>
      <c r="CH35" s="2">
        <f t="shared" si="123"/>
        <v>0</v>
      </c>
      <c r="CI35" s="117">
        <f t="shared" si="111"/>
        <v>0.49099999999999999</v>
      </c>
      <c r="CJ35" s="4">
        <f t="shared" si="112"/>
        <v>1.3</v>
      </c>
      <c r="CK35" s="1">
        <f t="shared" si="124"/>
        <v>0</v>
      </c>
      <c r="CL35" s="1">
        <f t="shared" si="125"/>
        <v>0</v>
      </c>
      <c r="CM35" s="1">
        <f t="shared" si="126"/>
        <v>24.4</v>
      </c>
      <c r="CN35" s="1">
        <f>IF(ISNA(VLOOKUP($CZ35,'Audit Values'!$A$2:$AE$439,2,FALSE)),'Preliminary SO66'!T32,VLOOKUP($CZ35,'Audit Values'!$A$2:$AE$439,20,FALSE))</f>
        <v>634.4</v>
      </c>
      <c r="CO35" s="1">
        <f t="shared" si="127"/>
        <v>666.1</v>
      </c>
      <c r="CP35" s="181">
        <v>91</v>
      </c>
      <c r="CQ35" s="1">
        <f t="shared" si="128"/>
        <v>22.8</v>
      </c>
      <c r="CR35" s="2">
        <f>IF(ISNA(VLOOKUP($CZ35,'Audit Values'!$A$2:$AE$439,2,FALSE)),'Preliminary SO66'!V32,VLOOKUP($CZ35,'Audit Values'!$A$2:$AE$439,22,FALSE))</f>
        <v>0</v>
      </c>
      <c r="CS35" s="1">
        <f t="shared" si="129"/>
        <v>0</v>
      </c>
      <c r="CT35" s="2">
        <f>IF(ISNA(VLOOKUP($CZ35,'Audit Values'!$A$2:$AE$439,2,FALSE)),'Preliminary SO66'!W32,VLOOKUP($CZ35,'Audit Values'!$A$2:$AE$439,23,FALSE))</f>
        <v>0</v>
      </c>
      <c r="CU35" s="1">
        <f t="shared" si="136"/>
        <v>0</v>
      </c>
      <c r="CV35" s="1">
        <f t="shared" si="137"/>
        <v>688.9</v>
      </c>
      <c r="CW35" s="176">
        <v>0</v>
      </c>
      <c r="CX35" s="2">
        <f>IF(CW35&gt;0,Weightings!$M$11*AR35,0)</f>
        <v>0</v>
      </c>
      <c r="CY35" s="2">
        <f t="shared" si="130"/>
        <v>0</v>
      </c>
      <c r="CZ35" s="108" t="s">
        <v>327</v>
      </c>
    </row>
    <row r="36" spans="1:104">
      <c r="A36" s="82">
        <v>219</v>
      </c>
      <c r="B36" s="4" t="s">
        <v>20</v>
      </c>
      <c r="C36" s="4" t="s">
        <v>663</v>
      </c>
      <c r="D36" s="1">
        <v>263</v>
      </c>
      <c r="E36" s="1">
        <v>0</v>
      </c>
      <c r="F36" s="1">
        <f t="shared" si="135"/>
        <v>263</v>
      </c>
      <c r="G36" s="1">
        <v>255</v>
      </c>
      <c r="H36" s="1">
        <v>0</v>
      </c>
      <c r="I36" s="1">
        <f t="shared" si="116"/>
        <v>255</v>
      </c>
      <c r="J36" s="1">
        <f t="shared" si="79"/>
        <v>249</v>
      </c>
      <c r="K36" s="1">
        <f>IF(ISNA(VLOOKUP($CZ36,'Audit Values'!$A$2:$AE$439,2,FALSE)),'Preliminary SO66'!B33,VLOOKUP($CZ36,'Audit Values'!$A$2:$AE$439,31,FALSE))</f>
        <v>249</v>
      </c>
      <c r="L36" s="1">
        <f t="shared" si="80"/>
        <v>255.7</v>
      </c>
      <c r="M36" s="1">
        <f>IF(ISNA(VLOOKUP($CZ36,'Audit Values'!$A$2:$AE$439,2,FALSE)),'Preliminary SO66'!Z33,VLOOKUP($CZ36,'Audit Values'!$A$2:$AE$439,26,FALSE))</f>
        <v>0</v>
      </c>
      <c r="N36" s="1">
        <f t="shared" si="81"/>
        <v>255.7</v>
      </c>
      <c r="O36" s="1">
        <f>IF(ISNA(VLOOKUP($CZ36,'Audit Values'!$A$2:$AE$439,2,FALSE)),'Preliminary SO66'!C33,IF(VLOOKUP($CZ36,'Audit Values'!$A$2:$AE$439,28,FALSE)="",VLOOKUP($CZ36,'Audit Values'!$A$2:$AE$439,3,FALSE),VLOOKUP($CZ36,'Audit Values'!$A$2:$AE$439,28,FALSE)))</f>
        <v>0</v>
      </c>
      <c r="P36" s="109">
        <f t="shared" si="82"/>
        <v>249</v>
      </c>
      <c r="Q36" s="110">
        <f t="shared" si="83"/>
        <v>249</v>
      </c>
      <c r="R36" s="111">
        <f t="shared" si="84"/>
        <v>249</v>
      </c>
      <c r="S36" s="1">
        <f t="shared" si="85"/>
        <v>255.7</v>
      </c>
      <c r="T36" s="1">
        <f t="shared" si="133"/>
        <v>0</v>
      </c>
      <c r="U36" s="1">
        <f t="shared" si="87"/>
        <v>153.80000000000001</v>
      </c>
      <c r="V36" s="1">
        <f t="shared" si="88"/>
        <v>153.80000000000001</v>
      </c>
      <c r="W36" s="1">
        <f t="shared" si="89"/>
        <v>0</v>
      </c>
      <c r="X36" s="1">
        <f>IF(ISNA(VLOOKUP($CZ36,'Audit Values'!$A$2:$AE$439,2,FALSE)),'Preliminary SO66'!D33,VLOOKUP($CZ36,'Audit Values'!$A$2:$AE$439,4,FALSE))</f>
        <v>0</v>
      </c>
      <c r="Y36" s="1">
        <f>ROUND((X36/6)*Weightings!$M$6,1)</f>
        <v>0</v>
      </c>
      <c r="Z36" s="1">
        <f>IF(ISNA(VLOOKUP($CZ36,'Audit Values'!$A$2:$AE$439,2,FALSE)),'Preliminary SO66'!F33,VLOOKUP($CZ36,'Audit Values'!$A$2:$AE$439,6,FALSE))</f>
        <v>0</v>
      </c>
      <c r="AA36" s="1">
        <f>ROUND((Z36/6)*Weightings!$M$7,1)</f>
        <v>0</v>
      </c>
      <c r="AB36" s="2">
        <f>IF(ISNA(VLOOKUP($CZ36,'Audit Values'!$A$2:$AE$439,2,FALSE)),'Preliminary SO66'!H33,VLOOKUP($CZ36,'Audit Values'!$A$2:$AE$439,8,FALSE))</f>
        <v>103</v>
      </c>
      <c r="AC36" s="1">
        <f>ROUND(AB36*Weightings!$M$8,1)</f>
        <v>47</v>
      </c>
      <c r="AD36" s="1">
        <f t="shared" si="117"/>
        <v>3.8</v>
      </c>
      <c r="AE36" s="185">
        <v>32</v>
      </c>
      <c r="AF36" s="1">
        <f>AE36*Weightings!$M$9</f>
        <v>1.5</v>
      </c>
      <c r="AG36" s="1">
        <f>IF(ISNA(VLOOKUP($CZ36,'Audit Values'!$A$2:$AE$439,2,FALSE)),'Preliminary SO66'!L33,VLOOKUP($CZ36,'Audit Values'!$A$2:$AE$439,12,FALSE))</f>
        <v>0</v>
      </c>
      <c r="AH36" s="1">
        <f>ROUND(AG36*Weightings!$M$10,1)</f>
        <v>0</v>
      </c>
      <c r="AI36" s="1">
        <f>IF(ISNA(VLOOKUP($CZ36,'Audit Values'!$A$2:$AE$439,2,FALSE)),'Preliminary SO66'!O33,VLOOKUP($CZ36,'Audit Values'!$A$2:$AE$439,15,FALSE))</f>
        <v>50</v>
      </c>
      <c r="AJ36" s="1">
        <f t="shared" si="90"/>
        <v>19.600000000000001</v>
      </c>
      <c r="AK36" s="1">
        <f>CC36/Weightings!$M$5</f>
        <v>0</v>
      </c>
      <c r="AL36" s="1">
        <f>CD36/Weightings!$M$5</f>
        <v>0</v>
      </c>
      <c r="AM36" s="1">
        <f>CH36/Weightings!$M$5</f>
        <v>0</v>
      </c>
      <c r="AN36" s="1">
        <f t="shared" si="118"/>
        <v>0</v>
      </c>
      <c r="AO36" s="1">
        <f>IF(ISNA(VLOOKUP($CZ36,'Audit Values'!$A$2:$AE$439,2,FALSE)),'Preliminary SO66'!X33,VLOOKUP($CZ36,'Audit Values'!$A$2:$AE$439,24,FALSE))</f>
        <v>0</v>
      </c>
      <c r="AP36" s="188">
        <v>180273</v>
      </c>
      <c r="AQ36" s="113">
        <f>AP36/Weightings!$M$5</f>
        <v>47</v>
      </c>
      <c r="AR36" s="113">
        <f t="shared" si="91"/>
        <v>481.4</v>
      </c>
      <c r="AS36" s="1">
        <f t="shared" si="92"/>
        <v>528.4</v>
      </c>
      <c r="AT36" s="1">
        <f t="shared" si="93"/>
        <v>528.4</v>
      </c>
      <c r="AU36" s="2">
        <f t="shared" si="119"/>
        <v>0</v>
      </c>
      <c r="AV36" s="82">
        <f>IF(ISNA(VLOOKUP($CZ36,'Audit Values'!$A$2:$AC$360,2,FALSE)),"",IF(AND(Weightings!H36&gt;0,VLOOKUP($CZ36,'Audit Values'!$A$2:$AC$360,29,FALSE)&lt;Weightings!H36),Weightings!H36,VLOOKUP($CZ36,'Audit Values'!$A$2:$AC$360,29,FALSE)))</f>
        <v>15</v>
      </c>
      <c r="AW36" s="82" t="str">
        <f>IF(ISNA(VLOOKUP($CZ36,'Audit Values'!$A$2:$AD$360,2,FALSE)),"",VLOOKUP($CZ36,'Audit Values'!$A$2:$AD$360,30,FALSE))</f>
        <v>A</v>
      </c>
      <c r="AX36" s="82" t="str">
        <f>IF(Weightings!G36="","",IF(Weightings!I36="Pending","PX","R"))</f>
        <v/>
      </c>
      <c r="AY36" s="114">
        <f>AR36*Weightings!$M$5+AU36</f>
        <v>1847613</v>
      </c>
      <c r="AZ36" s="2">
        <f>AT36*Weightings!$M$5+AU36</f>
        <v>2027999</v>
      </c>
      <c r="BA36" s="2">
        <f>IF(Weightings!G36&gt;0,Weightings!G36,'Preliminary SO66'!AB33)</f>
        <v>2107446</v>
      </c>
      <c r="BB36" s="2">
        <f t="shared" si="94"/>
        <v>2027999</v>
      </c>
      <c r="BC36" s="124"/>
      <c r="BD36" s="124">
        <f>Weightings!E36</f>
        <v>0</v>
      </c>
      <c r="BE36" s="124">
        <f>Weightings!F36</f>
        <v>0</v>
      </c>
      <c r="BF36" s="2">
        <f t="shared" si="95"/>
        <v>0</v>
      </c>
      <c r="BG36" s="2">
        <f t="shared" si="96"/>
        <v>2027999</v>
      </c>
      <c r="BH36" s="2">
        <f>MAX(ROUND(((AR36-AO36)*4433)+AP36,0),ROUND(((AR36-AO36)*4433)+Weightings!B36,0))</f>
        <v>2381869</v>
      </c>
      <c r="BI36" s="174">
        <v>0.3</v>
      </c>
      <c r="BJ36" s="2">
        <f t="shared" si="134"/>
        <v>714561</v>
      </c>
      <c r="BK36" s="173">
        <v>709000</v>
      </c>
      <c r="BL36" s="2">
        <f t="shared" si="98"/>
        <v>709000</v>
      </c>
      <c r="BM36" s="3">
        <f t="shared" si="120"/>
        <v>0.29770000000000002</v>
      </c>
      <c r="BN36" s="1">
        <f t="shared" si="99"/>
        <v>0</v>
      </c>
      <c r="BO36" s="4" t="b">
        <f t="shared" si="100"/>
        <v>1</v>
      </c>
      <c r="BP36" s="5">
        <f t="shared" si="101"/>
        <v>1503.2840000000001</v>
      </c>
      <c r="BQ36" s="6">
        <f t="shared" si="102"/>
        <v>0.60161299999999995</v>
      </c>
      <c r="BR36" s="4">
        <f t="shared" si="103"/>
        <v>153.80000000000001</v>
      </c>
      <c r="BS36" s="4" t="b">
        <f t="shared" si="104"/>
        <v>0</v>
      </c>
      <c r="BT36" s="4">
        <f t="shared" si="105"/>
        <v>0</v>
      </c>
      <c r="BU36" s="6">
        <f t="shared" si="106"/>
        <v>0</v>
      </c>
      <c r="BV36" s="1">
        <f t="shared" si="107"/>
        <v>0</v>
      </c>
      <c r="BW36" s="1">
        <f t="shared" si="108"/>
        <v>0</v>
      </c>
      <c r="BX36" s="116">
        <v>292</v>
      </c>
      <c r="BY36" s="7">
        <f t="shared" si="121"/>
        <v>0.17</v>
      </c>
      <c r="BZ36" s="7">
        <f>IF(ROUND((Weightings!$P$5*BY36^Weightings!$P$6*Weightings!$P$8 ),2)&lt;Weightings!$P$7,Weightings!$P$7,ROUND((Weightings!$P$5*BY36^Weightings!$P$6*Weightings!$P$8 ),2))</f>
        <v>1501.44</v>
      </c>
      <c r="CA36" s="8">
        <f>ROUND(BZ36/Weightings!$M$5,4)</f>
        <v>0.39119999999999999</v>
      </c>
      <c r="CB36" s="1">
        <f t="shared" si="122"/>
        <v>19.600000000000001</v>
      </c>
      <c r="CC36" s="173">
        <v>0</v>
      </c>
      <c r="CD36" s="173">
        <v>0</v>
      </c>
      <c r="CE36" s="173">
        <v>0</v>
      </c>
      <c r="CF36" s="177">
        <v>0</v>
      </c>
      <c r="CG36" s="2">
        <f>AS36*Weightings!$M$5*CF36</f>
        <v>0</v>
      </c>
      <c r="CH36" s="2">
        <f t="shared" si="123"/>
        <v>0</v>
      </c>
      <c r="CI36" s="117">
        <f t="shared" si="111"/>
        <v>0.40300000000000002</v>
      </c>
      <c r="CJ36" s="4">
        <f t="shared" si="112"/>
        <v>0.9</v>
      </c>
      <c r="CK36" s="1">
        <f t="shared" si="124"/>
        <v>0</v>
      </c>
      <c r="CL36" s="1">
        <f t="shared" si="125"/>
        <v>0</v>
      </c>
      <c r="CM36" s="1">
        <f t="shared" si="126"/>
        <v>3.8</v>
      </c>
      <c r="CN36" s="1">
        <f>IF(ISNA(VLOOKUP($CZ36,'Audit Values'!$A$2:$AE$439,2,FALSE)),'Preliminary SO66'!T33,VLOOKUP($CZ36,'Audit Values'!$A$2:$AE$439,20,FALSE))</f>
        <v>0</v>
      </c>
      <c r="CO36" s="1">
        <f t="shared" si="127"/>
        <v>0</v>
      </c>
      <c r="CP36" s="183">
        <v>0</v>
      </c>
      <c r="CQ36" s="1">
        <f t="shared" si="128"/>
        <v>0</v>
      </c>
      <c r="CR36" s="2">
        <f>IF(ISNA(VLOOKUP($CZ36,'Audit Values'!$A$2:$AE$439,2,FALSE)),'Preliminary SO66'!V33,VLOOKUP($CZ36,'Audit Values'!$A$2:$AE$439,22,FALSE))</f>
        <v>0</v>
      </c>
      <c r="CS36" s="1">
        <f t="shared" si="129"/>
        <v>0</v>
      </c>
      <c r="CT36" s="2">
        <f>IF(ISNA(VLOOKUP($CZ36,'Audit Values'!$A$2:$AE$439,2,FALSE)),'Preliminary SO66'!W33,VLOOKUP($CZ36,'Audit Values'!$A$2:$AE$439,23,FALSE))</f>
        <v>0</v>
      </c>
      <c r="CU36" s="1">
        <f t="shared" si="136"/>
        <v>0</v>
      </c>
      <c r="CV36" s="1">
        <f t="shared" si="137"/>
        <v>0</v>
      </c>
      <c r="CW36" s="176">
        <v>0</v>
      </c>
      <c r="CX36" s="2">
        <f>IF(CW36&gt;0,Weightings!$M$11*AR36,0)</f>
        <v>0</v>
      </c>
      <c r="CY36" s="2">
        <f t="shared" si="130"/>
        <v>0</v>
      </c>
      <c r="CZ36" s="108" t="s">
        <v>328</v>
      </c>
    </row>
    <row r="37" spans="1:104">
      <c r="A37" s="82">
        <v>220</v>
      </c>
      <c r="B37" s="4" t="s">
        <v>20</v>
      </c>
      <c r="C37" s="4" t="s">
        <v>664</v>
      </c>
      <c r="D37" s="1">
        <v>206.4</v>
      </c>
      <c r="E37" s="1">
        <v>0</v>
      </c>
      <c r="F37" s="1">
        <f t="shared" si="135"/>
        <v>206.4</v>
      </c>
      <c r="G37" s="1">
        <v>183.6</v>
      </c>
      <c r="H37" s="1">
        <v>0</v>
      </c>
      <c r="I37" s="1">
        <f t="shared" si="116"/>
        <v>183.6</v>
      </c>
      <c r="J37" s="1">
        <f t="shared" si="79"/>
        <v>194.4</v>
      </c>
      <c r="K37" s="1">
        <f>IF(ISNA(VLOOKUP($CZ37,'Audit Values'!$A$2:$AE$439,2,FALSE)),'Preliminary SO66'!B34,VLOOKUP($CZ37,'Audit Values'!$A$2:$AE$439,31,FALSE))</f>
        <v>194.4</v>
      </c>
      <c r="L37" s="1">
        <f t="shared" si="80"/>
        <v>194.8</v>
      </c>
      <c r="M37" s="1">
        <f>IF(ISNA(VLOOKUP($CZ37,'Audit Values'!$A$2:$AE$439,2,FALSE)),'Preliminary SO66'!Z34,VLOOKUP($CZ37,'Audit Values'!$A$2:$AE$439,26,FALSE))</f>
        <v>0</v>
      </c>
      <c r="N37" s="1">
        <f t="shared" si="81"/>
        <v>194.8</v>
      </c>
      <c r="O37" s="1">
        <f>IF(ISNA(VLOOKUP($CZ37,'Audit Values'!$A$2:$AE$439,2,FALSE)),'Preliminary SO66'!C34,IF(VLOOKUP($CZ37,'Audit Values'!$A$2:$AE$439,28,FALSE)="",VLOOKUP($CZ37,'Audit Values'!$A$2:$AE$439,3,FALSE),VLOOKUP($CZ37,'Audit Values'!$A$2:$AE$439,28,FALSE)))</f>
        <v>1.5</v>
      </c>
      <c r="P37" s="109">
        <f t="shared" si="82"/>
        <v>195.9</v>
      </c>
      <c r="Q37" s="110">
        <f t="shared" si="83"/>
        <v>195.9</v>
      </c>
      <c r="R37" s="111">
        <f t="shared" si="84"/>
        <v>195.9</v>
      </c>
      <c r="S37" s="1">
        <f t="shared" si="85"/>
        <v>196.3</v>
      </c>
      <c r="T37" s="1">
        <f t="shared" si="133"/>
        <v>0</v>
      </c>
      <c r="U37" s="1">
        <f t="shared" si="87"/>
        <v>149</v>
      </c>
      <c r="V37" s="1">
        <f t="shared" si="88"/>
        <v>149</v>
      </c>
      <c r="W37" s="1">
        <f t="shared" si="89"/>
        <v>0</v>
      </c>
      <c r="X37" s="1">
        <f>IF(ISNA(VLOOKUP($CZ37,'Audit Values'!$A$2:$AE$439,2,FALSE)),'Preliminary SO66'!D34,VLOOKUP($CZ37,'Audit Values'!$A$2:$AE$439,4,FALSE))</f>
        <v>21.7</v>
      </c>
      <c r="Y37" s="1">
        <f>ROUND((X37/6)*Weightings!$M$6,1)</f>
        <v>1.8</v>
      </c>
      <c r="Z37" s="1">
        <f>IF(ISNA(VLOOKUP($CZ37,'Audit Values'!$A$2:$AE$439,2,FALSE)),'Preliminary SO66'!F34,VLOOKUP($CZ37,'Audit Values'!$A$2:$AE$439,6,FALSE))</f>
        <v>32.299999999999997</v>
      </c>
      <c r="AA37" s="1">
        <f>ROUND((Z37/6)*Weightings!$M$7,1)</f>
        <v>2.1</v>
      </c>
      <c r="AB37" s="2">
        <f>IF(ISNA(VLOOKUP($CZ37,'Audit Values'!$A$2:$AE$439,2,FALSE)),'Preliminary SO66'!H34,VLOOKUP($CZ37,'Audit Values'!$A$2:$AE$439,8,FALSE))</f>
        <v>75</v>
      </c>
      <c r="AC37" s="1">
        <f>ROUND(AB37*Weightings!$M$8,1)</f>
        <v>34.200000000000003</v>
      </c>
      <c r="AD37" s="1">
        <f t="shared" si="117"/>
        <v>1.7</v>
      </c>
      <c r="AE37" s="185">
        <v>12</v>
      </c>
      <c r="AF37" s="1">
        <f>AE37*Weightings!$M$9</f>
        <v>0.6</v>
      </c>
      <c r="AG37" s="1">
        <f>IF(ISNA(VLOOKUP($CZ37,'Audit Values'!$A$2:$AE$439,2,FALSE)),'Preliminary SO66'!L34,VLOOKUP($CZ37,'Audit Values'!$A$2:$AE$439,12,FALSE))</f>
        <v>0</v>
      </c>
      <c r="AH37" s="1">
        <f>ROUND(AG37*Weightings!$M$10,1)</f>
        <v>0</v>
      </c>
      <c r="AI37" s="1">
        <f>IF(ISNA(VLOOKUP($CZ37,'Audit Values'!$A$2:$AE$439,2,FALSE)),'Preliminary SO66'!O34,VLOOKUP($CZ37,'Audit Values'!$A$2:$AE$439,15,FALSE))</f>
        <v>45</v>
      </c>
      <c r="AJ37" s="1">
        <f t="shared" si="90"/>
        <v>21.6</v>
      </c>
      <c r="AK37" s="1">
        <f>CC37/Weightings!$M$5</f>
        <v>0</v>
      </c>
      <c r="AL37" s="1">
        <f>CD37/Weightings!$M$5</f>
        <v>0</v>
      </c>
      <c r="AM37" s="1">
        <f>CH37/Weightings!$M$5</f>
        <v>0</v>
      </c>
      <c r="AN37" s="1">
        <f t="shared" si="118"/>
        <v>0</v>
      </c>
      <c r="AO37" s="1">
        <f>IF(ISNA(VLOOKUP($CZ37,'Audit Values'!$A$2:$AE$439,2,FALSE)),'Preliminary SO66'!X34,VLOOKUP($CZ37,'Audit Values'!$A$2:$AE$439,24,FALSE))</f>
        <v>0</v>
      </c>
      <c r="AP37" s="188">
        <v>148233</v>
      </c>
      <c r="AQ37" s="113">
        <f>AP37/Weightings!$M$5</f>
        <v>38.6</v>
      </c>
      <c r="AR37" s="113">
        <f t="shared" si="91"/>
        <v>407.3</v>
      </c>
      <c r="AS37" s="1">
        <f t="shared" si="92"/>
        <v>445.9</v>
      </c>
      <c r="AT37" s="1">
        <f t="shared" si="93"/>
        <v>445.9</v>
      </c>
      <c r="AU37" s="2">
        <f t="shared" si="119"/>
        <v>0</v>
      </c>
      <c r="AV37" s="82">
        <f>IF(ISNA(VLOOKUP($CZ37,'Audit Values'!$A$2:$AC$360,2,FALSE)),"",IF(AND(Weightings!H37&gt;0,VLOOKUP($CZ37,'Audit Values'!$A$2:$AC$360,29,FALSE)&lt;Weightings!H37),Weightings!H37,VLOOKUP($CZ37,'Audit Values'!$A$2:$AC$360,29,FALSE)))</f>
        <v>15</v>
      </c>
      <c r="AW37" s="82" t="str">
        <f>IF(ISNA(VLOOKUP($CZ37,'Audit Values'!$A$2:$AD$360,2,FALSE)),"",VLOOKUP($CZ37,'Audit Values'!$A$2:$AD$360,30,FALSE))</f>
        <v>A</v>
      </c>
      <c r="AX37" s="82" t="str">
        <f>IF(Weightings!G37="","",IF(Weightings!I37="Pending","PX","R"))</f>
        <v/>
      </c>
      <c r="AY37" s="114">
        <f>AR37*Weightings!$M$5+AU37</f>
        <v>1563217</v>
      </c>
      <c r="AZ37" s="2">
        <f>AT37*Weightings!$M$5+AU37</f>
        <v>1711364</v>
      </c>
      <c r="BA37" s="2">
        <f>IF(Weightings!G37&gt;0,Weightings!G37,'Preliminary SO66'!AB34)</f>
        <v>1805779</v>
      </c>
      <c r="BB37" s="2">
        <f t="shared" si="94"/>
        <v>1711364</v>
      </c>
      <c r="BC37" s="124"/>
      <c r="BD37" s="124">
        <f>Weightings!E37</f>
        <v>0</v>
      </c>
      <c r="BE37" s="124">
        <f>Weightings!F37</f>
        <v>0</v>
      </c>
      <c r="BF37" s="2">
        <f t="shared" si="95"/>
        <v>0</v>
      </c>
      <c r="BG37" s="2">
        <f t="shared" si="96"/>
        <v>1711364</v>
      </c>
      <c r="BH37" s="2">
        <f>MAX(ROUND(((AR37-AO37)*4433)+AP37,0),ROUND(((AR37-AO37)*4433)+Weightings!B37,0))</f>
        <v>2004242</v>
      </c>
      <c r="BI37" s="174">
        <v>0.3</v>
      </c>
      <c r="BJ37" s="2">
        <f t="shared" si="134"/>
        <v>601273</v>
      </c>
      <c r="BK37" s="173">
        <v>627073</v>
      </c>
      <c r="BL37" s="2">
        <f t="shared" si="98"/>
        <v>601273</v>
      </c>
      <c r="BM37" s="3">
        <f t="shared" si="120"/>
        <v>0.3</v>
      </c>
      <c r="BN37" s="1">
        <f t="shared" si="99"/>
        <v>0</v>
      </c>
      <c r="BO37" s="4" t="b">
        <f t="shared" si="100"/>
        <v>1</v>
      </c>
      <c r="BP37" s="5">
        <f t="shared" si="101"/>
        <v>929.77700000000004</v>
      </c>
      <c r="BQ37" s="6">
        <f t="shared" si="102"/>
        <v>0.75906600000000002</v>
      </c>
      <c r="BR37" s="4">
        <f t="shared" si="103"/>
        <v>149</v>
      </c>
      <c r="BS37" s="4" t="b">
        <f t="shared" si="104"/>
        <v>0</v>
      </c>
      <c r="BT37" s="4">
        <f t="shared" si="105"/>
        <v>0</v>
      </c>
      <c r="BU37" s="6">
        <f t="shared" si="106"/>
        <v>0</v>
      </c>
      <c r="BV37" s="1">
        <f t="shared" si="107"/>
        <v>0</v>
      </c>
      <c r="BW37" s="1">
        <f t="shared" si="108"/>
        <v>0</v>
      </c>
      <c r="BX37" s="116">
        <v>660</v>
      </c>
      <c r="BY37" s="7">
        <f t="shared" si="121"/>
        <v>7.0000000000000007E-2</v>
      </c>
      <c r="BZ37" s="7">
        <f>IF(ROUND((Weightings!$P$5*BY37^Weightings!$P$6*Weightings!$P$8 ),2)&lt;Weightings!$P$7,Weightings!$P$7,ROUND((Weightings!$P$5*BY37^Weightings!$P$6*Weightings!$P$8 ),2))</f>
        <v>1838.27</v>
      </c>
      <c r="CA37" s="8">
        <f>ROUND(BZ37/Weightings!$M$5,4)</f>
        <v>0.47899999999999998</v>
      </c>
      <c r="CB37" s="1">
        <f t="shared" si="122"/>
        <v>21.6</v>
      </c>
      <c r="CC37" s="173">
        <v>0</v>
      </c>
      <c r="CD37" s="173">
        <v>0</v>
      </c>
      <c r="CE37" s="173">
        <v>0</v>
      </c>
      <c r="CF37" s="177">
        <v>0</v>
      </c>
      <c r="CG37" s="2">
        <f>AS37*Weightings!$M$5*CF37</f>
        <v>0</v>
      </c>
      <c r="CH37" s="2">
        <f t="shared" si="123"/>
        <v>0</v>
      </c>
      <c r="CI37" s="117">
        <f t="shared" si="111"/>
        <v>0.38200000000000001</v>
      </c>
      <c r="CJ37" s="4">
        <f t="shared" si="112"/>
        <v>0.3</v>
      </c>
      <c r="CK37" s="1">
        <f t="shared" si="124"/>
        <v>0</v>
      </c>
      <c r="CL37" s="1">
        <f t="shared" si="125"/>
        <v>0</v>
      </c>
      <c r="CM37" s="1">
        <f t="shared" si="126"/>
        <v>1.7</v>
      </c>
      <c r="CN37" s="1">
        <f>IF(ISNA(VLOOKUP($CZ37,'Audit Values'!$A$2:$AE$439,2,FALSE)),'Preliminary SO66'!T34,VLOOKUP($CZ37,'Audit Values'!$A$2:$AE$439,20,FALSE))</f>
        <v>0</v>
      </c>
      <c r="CO37" s="1">
        <f t="shared" si="127"/>
        <v>0</v>
      </c>
      <c r="CP37" s="183">
        <v>0</v>
      </c>
      <c r="CQ37" s="1">
        <f t="shared" si="128"/>
        <v>0</v>
      </c>
      <c r="CR37" s="2">
        <f>IF(ISNA(VLOOKUP($CZ37,'Audit Values'!$A$2:$AE$439,2,FALSE)),'Preliminary SO66'!V34,VLOOKUP($CZ37,'Audit Values'!$A$2:$AE$439,22,FALSE))</f>
        <v>0</v>
      </c>
      <c r="CS37" s="1">
        <f t="shared" si="129"/>
        <v>0</v>
      </c>
      <c r="CT37" s="2">
        <f>IF(ISNA(VLOOKUP($CZ37,'Audit Values'!$A$2:$AE$439,2,FALSE)),'Preliminary SO66'!W34,VLOOKUP($CZ37,'Audit Values'!$A$2:$AE$439,23,FALSE))</f>
        <v>0</v>
      </c>
      <c r="CU37" s="1">
        <f t="shared" si="136"/>
        <v>0</v>
      </c>
      <c r="CV37" s="1">
        <f t="shared" si="137"/>
        <v>0</v>
      </c>
      <c r="CW37" s="176">
        <v>0</v>
      </c>
      <c r="CX37" s="2">
        <f>IF(CW37&gt;0,Weightings!$M$11*AR37,0)</f>
        <v>0</v>
      </c>
      <c r="CY37" s="2">
        <f t="shared" si="130"/>
        <v>0</v>
      </c>
      <c r="CZ37" s="108" t="s">
        <v>329</v>
      </c>
    </row>
    <row r="38" spans="1:104">
      <c r="A38" s="82">
        <v>223</v>
      </c>
      <c r="B38" s="4" t="s">
        <v>21</v>
      </c>
      <c r="C38" s="4" t="s">
        <v>665</v>
      </c>
      <c r="D38" s="1">
        <v>357.3</v>
      </c>
      <c r="E38" s="1">
        <v>0</v>
      </c>
      <c r="F38" s="1">
        <f t="shared" si="135"/>
        <v>357.3</v>
      </c>
      <c r="G38" s="1">
        <v>373.2</v>
      </c>
      <c r="H38" s="1">
        <v>0</v>
      </c>
      <c r="I38" s="1">
        <f t="shared" si="116"/>
        <v>373.2</v>
      </c>
      <c r="J38" s="1">
        <f t="shared" si="79"/>
        <v>374.8</v>
      </c>
      <c r="K38" s="1">
        <f>IF(ISNA(VLOOKUP($CZ38,'Audit Values'!$A$2:$AE$439,2,FALSE)),'Preliminary SO66'!B35,VLOOKUP($CZ38,'Audit Values'!$A$2:$AE$439,31,FALSE))</f>
        <v>374.8</v>
      </c>
      <c r="L38" s="1">
        <f t="shared" si="80"/>
        <v>374.8</v>
      </c>
      <c r="M38" s="1">
        <f>IF(ISNA(VLOOKUP($CZ38,'Audit Values'!$A$2:$AE$439,2,FALSE)),'Preliminary SO66'!Z35,VLOOKUP($CZ38,'Audit Values'!$A$2:$AE$439,26,FALSE))</f>
        <v>0</v>
      </c>
      <c r="N38" s="1">
        <f t="shared" si="81"/>
        <v>374.8</v>
      </c>
      <c r="O38" s="1">
        <f>IF(ISNA(VLOOKUP($CZ38,'Audit Values'!$A$2:$AE$439,2,FALSE)),'Preliminary SO66'!C35,IF(VLOOKUP($CZ38,'Audit Values'!$A$2:$AE$439,28,FALSE)="",VLOOKUP($CZ38,'Audit Values'!$A$2:$AE$439,3,FALSE),VLOOKUP($CZ38,'Audit Values'!$A$2:$AE$439,28,FALSE)))</f>
        <v>0</v>
      </c>
      <c r="P38" s="109">
        <f t="shared" si="82"/>
        <v>374.8</v>
      </c>
      <c r="Q38" s="110">
        <f t="shared" si="83"/>
        <v>374.8</v>
      </c>
      <c r="R38" s="111">
        <f t="shared" si="84"/>
        <v>374.8</v>
      </c>
      <c r="S38" s="1">
        <f t="shared" si="85"/>
        <v>374.8</v>
      </c>
      <c r="T38" s="1">
        <f t="shared" si="133"/>
        <v>0</v>
      </c>
      <c r="U38" s="1">
        <f t="shared" si="87"/>
        <v>171.9</v>
      </c>
      <c r="V38" s="1">
        <f t="shared" si="88"/>
        <v>171.9</v>
      </c>
      <c r="W38" s="1">
        <f t="shared" si="89"/>
        <v>0</v>
      </c>
      <c r="X38" s="1">
        <f>IF(ISNA(VLOOKUP($CZ38,'Audit Values'!$A$2:$AE$439,2,FALSE)),'Preliminary SO66'!D35,VLOOKUP($CZ38,'Audit Values'!$A$2:$AE$439,4,FALSE))</f>
        <v>160.6</v>
      </c>
      <c r="Y38" s="1">
        <f>ROUND((X38/6)*Weightings!$M$6,1)</f>
        <v>13.4</v>
      </c>
      <c r="Z38" s="1">
        <f>IF(ISNA(VLOOKUP($CZ38,'Audit Values'!$A$2:$AE$439,2,FALSE)),'Preliminary SO66'!F35,VLOOKUP($CZ38,'Audit Values'!$A$2:$AE$439,6,FALSE))</f>
        <v>51.6</v>
      </c>
      <c r="AA38" s="1">
        <f>ROUND((Z38/6)*Weightings!$M$7,1)</f>
        <v>3.4</v>
      </c>
      <c r="AB38" s="2">
        <f>IF(ISNA(VLOOKUP($CZ38,'Audit Values'!$A$2:$AE$439,2,FALSE)),'Preliminary SO66'!H35,VLOOKUP($CZ38,'Audit Values'!$A$2:$AE$439,8,FALSE))</f>
        <v>138</v>
      </c>
      <c r="AC38" s="1">
        <f>ROUND(AB38*Weightings!$M$8,1)</f>
        <v>62.9</v>
      </c>
      <c r="AD38" s="1">
        <f t="shared" si="117"/>
        <v>1.7</v>
      </c>
      <c r="AE38" s="185">
        <v>22</v>
      </c>
      <c r="AF38" s="1">
        <f>AE38*Weightings!$M$9</f>
        <v>1</v>
      </c>
      <c r="AG38" s="1">
        <f>IF(ISNA(VLOOKUP($CZ38,'Audit Values'!$A$2:$AE$439,2,FALSE)),'Preliminary SO66'!L35,VLOOKUP($CZ38,'Audit Values'!$A$2:$AE$439,12,FALSE))</f>
        <v>0</v>
      </c>
      <c r="AH38" s="1">
        <f>ROUND(AG38*Weightings!$M$10,1)</f>
        <v>0</v>
      </c>
      <c r="AI38" s="1">
        <f>IF(ISNA(VLOOKUP($CZ38,'Audit Values'!$A$2:$AE$439,2,FALSE)),'Preliminary SO66'!O35,VLOOKUP($CZ38,'Audit Values'!$A$2:$AE$439,15,FALSE))</f>
        <v>138.69999999999999</v>
      </c>
      <c r="AJ38" s="1">
        <f t="shared" si="90"/>
        <v>45.4</v>
      </c>
      <c r="AK38" s="1">
        <f>CC38/Weightings!$M$5</f>
        <v>0</v>
      </c>
      <c r="AL38" s="1">
        <f>CD38/Weightings!$M$5</f>
        <v>0</v>
      </c>
      <c r="AM38" s="1">
        <f>CH38/Weightings!$M$5</f>
        <v>0</v>
      </c>
      <c r="AN38" s="1">
        <f t="shared" si="118"/>
        <v>0</v>
      </c>
      <c r="AO38" s="1">
        <f>IF(ISNA(VLOOKUP($CZ38,'Audit Values'!$A$2:$AE$439,2,FALSE)),'Preliminary SO66'!X35,VLOOKUP($CZ38,'Audit Values'!$A$2:$AE$439,24,FALSE))</f>
        <v>0</v>
      </c>
      <c r="AP38" s="188">
        <v>450586</v>
      </c>
      <c r="AQ38" s="113">
        <f>AP38/Weightings!$M$5</f>
        <v>117.4</v>
      </c>
      <c r="AR38" s="113">
        <f t="shared" si="91"/>
        <v>674.5</v>
      </c>
      <c r="AS38" s="1">
        <f t="shared" si="92"/>
        <v>791.9</v>
      </c>
      <c r="AT38" s="1">
        <f t="shared" si="93"/>
        <v>791.9</v>
      </c>
      <c r="AU38" s="2">
        <f t="shared" si="119"/>
        <v>0</v>
      </c>
      <c r="AV38" s="82">
        <f>IF(ISNA(VLOOKUP($CZ38,'Audit Values'!$A$2:$AC$360,2,FALSE)),"",IF(AND(Weightings!H38&gt;0,VLOOKUP($CZ38,'Audit Values'!$A$2:$AC$360,29,FALSE)&lt;Weightings!H38),Weightings!H38,VLOOKUP($CZ38,'Audit Values'!$A$2:$AC$360,29,FALSE)))</f>
        <v>2</v>
      </c>
      <c r="AW38" s="82" t="str">
        <f>IF(ISNA(VLOOKUP($CZ38,'Audit Values'!$A$2:$AD$360,2,FALSE)),"",VLOOKUP($CZ38,'Audit Values'!$A$2:$AD$360,30,FALSE))</f>
        <v>A</v>
      </c>
      <c r="AX38" s="82" t="str">
        <f>IF(Weightings!G38="","",IF(Weightings!I38="Pending","PX","R"))</f>
        <v/>
      </c>
      <c r="AY38" s="114">
        <f>AR38*Weightings!$M$5+AU38</f>
        <v>2588731</v>
      </c>
      <c r="AZ38" s="2">
        <f>AT38*Weightings!$M$5+AU38</f>
        <v>3039312</v>
      </c>
      <c r="BA38" s="2">
        <f>IF(Weightings!G38&gt;0,Weightings!G38,'Preliminary SO66'!AB35)</f>
        <v>3150614</v>
      </c>
      <c r="BB38" s="2">
        <f t="shared" si="94"/>
        <v>3039312</v>
      </c>
      <c r="BC38" s="124"/>
      <c r="BD38" s="124">
        <f>Weightings!E38</f>
        <v>0</v>
      </c>
      <c r="BE38" s="124">
        <f>Weightings!F38</f>
        <v>0</v>
      </c>
      <c r="BF38" s="2">
        <f t="shared" si="95"/>
        <v>0</v>
      </c>
      <c r="BG38" s="2">
        <f t="shared" si="96"/>
        <v>3039312</v>
      </c>
      <c r="BH38" s="2">
        <f>MAX(ROUND(((AR38-AO38)*4433)+AP38,0),ROUND(((AR38-AO38)*4433)+Weightings!B38,0))</f>
        <v>3440645</v>
      </c>
      <c r="BI38" s="174">
        <v>0.3</v>
      </c>
      <c r="BJ38" s="2">
        <f t="shared" si="134"/>
        <v>1032194</v>
      </c>
      <c r="BK38" s="173">
        <v>1068108</v>
      </c>
      <c r="BL38" s="2">
        <f t="shared" si="98"/>
        <v>1032194</v>
      </c>
      <c r="BM38" s="3">
        <f t="shared" si="120"/>
        <v>0.3</v>
      </c>
      <c r="BN38" s="1">
        <f t="shared" si="99"/>
        <v>0</v>
      </c>
      <c r="BO38" s="4" t="b">
        <f t="shared" si="100"/>
        <v>0</v>
      </c>
      <c r="BP38" s="5">
        <f t="shared" si="101"/>
        <v>0</v>
      </c>
      <c r="BQ38" s="6">
        <f t="shared" si="102"/>
        <v>0</v>
      </c>
      <c r="BR38" s="4">
        <f t="shared" si="103"/>
        <v>0</v>
      </c>
      <c r="BS38" s="4" t="b">
        <f t="shared" si="104"/>
        <v>1</v>
      </c>
      <c r="BT38" s="4">
        <f t="shared" si="105"/>
        <v>92.564999999999998</v>
      </c>
      <c r="BU38" s="6">
        <f t="shared" si="106"/>
        <v>0.45877299999999999</v>
      </c>
      <c r="BV38" s="1">
        <f t="shared" si="107"/>
        <v>171.9</v>
      </c>
      <c r="BW38" s="1">
        <f t="shared" si="108"/>
        <v>0</v>
      </c>
      <c r="BX38" s="116">
        <v>378</v>
      </c>
      <c r="BY38" s="7">
        <f t="shared" si="121"/>
        <v>0.37</v>
      </c>
      <c r="BZ38" s="7">
        <f>IF(ROUND((Weightings!$P$5*BY38^Weightings!$P$6*Weightings!$P$8 ),2)&lt;Weightings!$P$7,Weightings!$P$7,ROUND((Weightings!$P$5*BY38^Weightings!$P$6*Weightings!$P$8 ),2))</f>
        <v>1257.3800000000001</v>
      </c>
      <c r="CA38" s="8">
        <f>ROUND(BZ38/Weightings!$M$5,4)</f>
        <v>0.3276</v>
      </c>
      <c r="CB38" s="1">
        <f t="shared" si="122"/>
        <v>45.4</v>
      </c>
      <c r="CC38" s="173">
        <v>0</v>
      </c>
      <c r="CD38" s="173">
        <v>0</v>
      </c>
      <c r="CE38" s="173">
        <v>0</v>
      </c>
      <c r="CF38" s="177">
        <v>0</v>
      </c>
      <c r="CG38" s="2">
        <f>AS38*Weightings!$M$5*CF38</f>
        <v>0</v>
      </c>
      <c r="CH38" s="2">
        <f t="shared" si="123"/>
        <v>0</v>
      </c>
      <c r="CI38" s="117">
        <f t="shared" si="111"/>
        <v>0.36799999999999999</v>
      </c>
      <c r="CJ38" s="4">
        <f t="shared" si="112"/>
        <v>1</v>
      </c>
      <c r="CK38" s="1">
        <f t="shared" si="124"/>
        <v>0</v>
      </c>
      <c r="CL38" s="1">
        <f t="shared" si="125"/>
        <v>0</v>
      </c>
      <c r="CM38" s="1">
        <f t="shared" si="126"/>
        <v>1.7</v>
      </c>
      <c r="CN38" s="1">
        <f>IF(ISNA(VLOOKUP($CZ38,'Audit Values'!$A$2:$AE$439,2,FALSE)),'Preliminary SO66'!T35,VLOOKUP($CZ38,'Audit Values'!$A$2:$AE$439,20,FALSE))</f>
        <v>0</v>
      </c>
      <c r="CO38" s="1">
        <f t="shared" si="127"/>
        <v>0</v>
      </c>
      <c r="CP38" s="183">
        <v>0</v>
      </c>
      <c r="CQ38" s="1">
        <f t="shared" si="128"/>
        <v>0</v>
      </c>
      <c r="CR38" s="2">
        <f>IF(ISNA(VLOOKUP($CZ38,'Audit Values'!$A$2:$AE$439,2,FALSE)),'Preliminary SO66'!V35,VLOOKUP($CZ38,'Audit Values'!$A$2:$AE$439,22,FALSE))</f>
        <v>0</v>
      </c>
      <c r="CS38" s="1">
        <f t="shared" si="129"/>
        <v>0</v>
      </c>
      <c r="CT38" s="2">
        <f>IF(ISNA(VLOOKUP($CZ38,'Audit Values'!$A$2:$AE$439,2,FALSE)),'Preliminary SO66'!W35,VLOOKUP($CZ38,'Audit Values'!$A$2:$AE$439,23,FALSE))</f>
        <v>0</v>
      </c>
      <c r="CU38" s="1">
        <f t="shared" si="136"/>
        <v>0</v>
      </c>
      <c r="CV38" s="1">
        <f t="shared" si="137"/>
        <v>0</v>
      </c>
      <c r="CW38" s="176">
        <v>0</v>
      </c>
      <c r="CX38" s="2">
        <f>IF(CW38&gt;0,Weightings!$M$11*AR38,0)</f>
        <v>0</v>
      </c>
      <c r="CY38" s="2">
        <f t="shared" si="130"/>
        <v>0</v>
      </c>
      <c r="CZ38" s="108" t="s">
        <v>330</v>
      </c>
    </row>
    <row r="39" spans="1:104">
      <c r="A39" s="82">
        <v>224</v>
      </c>
      <c r="B39" s="4" t="s">
        <v>21</v>
      </c>
      <c r="C39" s="4" t="s">
        <v>666</v>
      </c>
      <c r="D39" s="1">
        <v>288.5</v>
      </c>
      <c r="E39" s="1">
        <v>0</v>
      </c>
      <c r="F39" s="1">
        <f t="shared" si="135"/>
        <v>288.5</v>
      </c>
      <c r="G39" s="1">
        <v>301.5</v>
      </c>
      <c r="H39" s="1">
        <v>0</v>
      </c>
      <c r="I39" s="1">
        <f t="shared" si="116"/>
        <v>301.5</v>
      </c>
      <c r="J39" s="1">
        <f t="shared" si="79"/>
        <v>305.5</v>
      </c>
      <c r="K39" s="1">
        <f>IF(ISNA(VLOOKUP($CZ39,'Audit Values'!$A$2:$AE$439,2,FALSE)),'Preliminary SO66'!B36,VLOOKUP($CZ39,'Audit Values'!$A$2:$AE$439,31,FALSE))</f>
        <v>305.5</v>
      </c>
      <c r="L39" s="1">
        <f t="shared" si="80"/>
        <v>305.5</v>
      </c>
      <c r="M39" s="1">
        <f>IF(ISNA(VLOOKUP($CZ39,'Audit Values'!$A$2:$AE$439,2,FALSE)),'Preliminary SO66'!Z36,VLOOKUP($CZ39,'Audit Values'!$A$2:$AE$439,26,FALSE))</f>
        <v>0</v>
      </c>
      <c r="N39" s="1">
        <f t="shared" si="81"/>
        <v>305.5</v>
      </c>
      <c r="O39" s="1">
        <f>IF(ISNA(VLOOKUP($CZ39,'Audit Values'!$A$2:$AE$439,2,FALSE)),'Preliminary SO66'!C36,IF(VLOOKUP($CZ39,'Audit Values'!$A$2:$AE$439,28,FALSE)="",VLOOKUP($CZ39,'Audit Values'!$A$2:$AE$439,3,FALSE),VLOOKUP($CZ39,'Audit Values'!$A$2:$AE$439,28,FALSE)))</f>
        <v>1</v>
      </c>
      <c r="P39" s="109">
        <f t="shared" si="82"/>
        <v>306.5</v>
      </c>
      <c r="Q39" s="110">
        <f t="shared" si="83"/>
        <v>306.5</v>
      </c>
      <c r="R39" s="111">
        <f t="shared" si="84"/>
        <v>306.5</v>
      </c>
      <c r="S39" s="1">
        <f t="shared" si="85"/>
        <v>306.5</v>
      </c>
      <c r="T39" s="1">
        <f t="shared" si="133"/>
        <v>0</v>
      </c>
      <c r="U39" s="1">
        <f t="shared" si="87"/>
        <v>147.69999999999999</v>
      </c>
      <c r="V39" s="1">
        <f t="shared" si="88"/>
        <v>147.69999999999999</v>
      </c>
      <c r="W39" s="1">
        <f t="shared" si="89"/>
        <v>0</v>
      </c>
      <c r="X39" s="1">
        <f>IF(ISNA(VLOOKUP($CZ39,'Audit Values'!$A$2:$AE$439,2,FALSE)),'Preliminary SO66'!D36,VLOOKUP($CZ39,'Audit Values'!$A$2:$AE$439,4,FALSE))</f>
        <v>112.8</v>
      </c>
      <c r="Y39" s="1">
        <f>ROUND((X39/6)*Weightings!$M$6,1)</f>
        <v>9.4</v>
      </c>
      <c r="Z39" s="1">
        <f>IF(ISNA(VLOOKUP($CZ39,'Audit Values'!$A$2:$AE$439,2,FALSE)),'Preliminary SO66'!F36,VLOOKUP($CZ39,'Audit Values'!$A$2:$AE$439,6,FALSE))</f>
        <v>0</v>
      </c>
      <c r="AA39" s="1">
        <f>ROUND((Z39/6)*Weightings!$M$7,1)</f>
        <v>0</v>
      </c>
      <c r="AB39" s="2">
        <f>IF(ISNA(VLOOKUP($CZ39,'Audit Values'!$A$2:$AE$439,2,FALSE)),'Preliminary SO66'!H36,VLOOKUP($CZ39,'Audit Values'!$A$2:$AE$439,8,FALSE))</f>
        <v>73</v>
      </c>
      <c r="AC39" s="1">
        <f>ROUND(AB39*Weightings!$M$8,1)</f>
        <v>33.299999999999997</v>
      </c>
      <c r="AD39" s="1">
        <f t="shared" si="117"/>
        <v>0</v>
      </c>
      <c r="AE39" s="185">
        <v>37</v>
      </c>
      <c r="AF39" s="1">
        <f>AE39*Weightings!$M$9</f>
        <v>1.7</v>
      </c>
      <c r="AG39" s="1">
        <f>IF(ISNA(VLOOKUP($CZ39,'Audit Values'!$A$2:$AE$439,2,FALSE)),'Preliminary SO66'!L36,VLOOKUP($CZ39,'Audit Values'!$A$2:$AE$439,12,FALSE))</f>
        <v>0</v>
      </c>
      <c r="AH39" s="1">
        <f>ROUND(AG39*Weightings!$M$10,1)</f>
        <v>0</v>
      </c>
      <c r="AI39" s="1">
        <f>IF(ISNA(VLOOKUP($CZ39,'Audit Values'!$A$2:$AE$439,2,FALSE)),'Preliminary SO66'!O36,VLOOKUP($CZ39,'Audit Values'!$A$2:$AE$439,15,FALSE))</f>
        <v>186</v>
      </c>
      <c r="AJ39" s="1">
        <f t="shared" si="90"/>
        <v>52.2</v>
      </c>
      <c r="AK39" s="1">
        <f>CC39/Weightings!$M$5</f>
        <v>0</v>
      </c>
      <c r="AL39" s="1">
        <f>CD39/Weightings!$M$5</f>
        <v>0</v>
      </c>
      <c r="AM39" s="1">
        <f>CH39/Weightings!$M$5</f>
        <v>0</v>
      </c>
      <c r="AN39" s="1">
        <f t="shared" si="118"/>
        <v>0</v>
      </c>
      <c r="AO39" s="1">
        <f>IF(ISNA(VLOOKUP($CZ39,'Audit Values'!$A$2:$AE$439,2,FALSE)),'Preliminary SO66'!X36,VLOOKUP($CZ39,'Audit Values'!$A$2:$AE$439,24,FALSE))</f>
        <v>0</v>
      </c>
      <c r="AP39" s="188">
        <v>286498</v>
      </c>
      <c r="AQ39" s="113">
        <f>AP39/Weightings!$M$5</f>
        <v>74.599999999999994</v>
      </c>
      <c r="AR39" s="113">
        <f t="shared" si="91"/>
        <v>550.79999999999995</v>
      </c>
      <c r="AS39" s="1">
        <f t="shared" si="92"/>
        <v>625.4</v>
      </c>
      <c r="AT39" s="1">
        <f t="shared" si="93"/>
        <v>625.4</v>
      </c>
      <c r="AU39" s="2">
        <f t="shared" si="119"/>
        <v>0</v>
      </c>
      <c r="AV39" s="82">
        <f>IF(ISNA(VLOOKUP($CZ39,'Audit Values'!$A$2:$AC$360,2,FALSE)),"",IF(AND(Weightings!H39&gt;0,VLOOKUP($CZ39,'Audit Values'!$A$2:$AC$360,29,FALSE)&lt;Weightings!H39),Weightings!H39,VLOOKUP($CZ39,'Audit Values'!$A$2:$AC$360,29,FALSE)))</f>
        <v>24</v>
      </c>
      <c r="AW39" s="82" t="str">
        <f>IF(ISNA(VLOOKUP($CZ39,'Audit Values'!$A$2:$AD$360,2,FALSE)),"",VLOOKUP($CZ39,'Audit Values'!$A$2:$AD$360,30,FALSE))</f>
        <v>A</v>
      </c>
      <c r="AX39" s="82" t="str">
        <f>IF(Weightings!G39="","",IF(Weightings!I39="Pending","PX","R"))</f>
        <v/>
      </c>
      <c r="AY39" s="114">
        <f>AR39*Weightings!$M$5+AU39</f>
        <v>2113970</v>
      </c>
      <c r="AZ39" s="2">
        <f>AT39*Weightings!$M$5+AU39</f>
        <v>2400285</v>
      </c>
      <c r="BA39" s="2">
        <f>IF(Weightings!G39&gt;0,Weightings!G39,'Preliminary SO66'!AB36)</f>
        <v>2490094</v>
      </c>
      <c r="BB39" s="2">
        <f t="shared" si="94"/>
        <v>2400285</v>
      </c>
      <c r="BC39" s="124"/>
      <c r="BD39" s="124">
        <f>Weightings!E39</f>
        <v>0</v>
      </c>
      <c r="BE39" s="124">
        <f>Weightings!F39</f>
        <v>0</v>
      </c>
      <c r="BF39" s="2">
        <f t="shared" si="95"/>
        <v>0</v>
      </c>
      <c r="BG39" s="2">
        <f t="shared" si="96"/>
        <v>2400285</v>
      </c>
      <c r="BH39" s="2">
        <f>MAX(ROUND(((AR39-AO39)*4433)+AP39,0),ROUND(((AR39-AO39)*4433)+Weightings!B39,0))</f>
        <v>2789554</v>
      </c>
      <c r="BI39" s="174">
        <v>0.3</v>
      </c>
      <c r="BJ39" s="2">
        <f t="shared" si="134"/>
        <v>836866</v>
      </c>
      <c r="BK39" s="173">
        <v>775000</v>
      </c>
      <c r="BL39" s="2">
        <f t="shared" si="98"/>
        <v>775000</v>
      </c>
      <c r="BM39" s="3">
        <f t="shared" si="120"/>
        <v>0.27779999999999999</v>
      </c>
      <c r="BN39" s="1">
        <f t="shared" si="99"/>
        <v>0</v>
      </c>
      <c r="BO39" s="4" t="b">
        <f t="shared" si="100"/>
        <v>0</v>
      </c>
      <c r="BP39" s="5">
        <f t="shared" si="101"/>
        <v>0</v>
      </c>
      <c r="BQ39" s="6">
        <f t="shared" si="102"/>
        <v>0</v>
      </c>
      <c r="BR39" s="4">
        <f t="shared" si="103"/>
        <v>0</v>
      </c>
      <c r="BS39" s="4" t="b">
        <f t="shared" si="104"/>
        <v>1</v>
      </c>
      <c r="BT39" s="4">
        <f t="shared" si="105"/>
        <v>8.0437999999999992</v>
      </c>
      <c r="BU39" s="6">
        <f t="shared" si="106"/>
        <v>0.48197800000000002</v>
      </c>
      <c r="BV39" s="1">
        <f t="shared" si="107"/>
        <v>147.69999999999999</v>
      </c>
      <c r="BW39" s="1">
        <f t="shared" si="108"/>
        <v>0</v>
      </c>
      <c r="BX39" s="116">
        <v>255</v>
      </c>
      <c r="BY39" s="7">
        <f t="shared" si="121"/>
        <v>0.73</v>
      </c>
      <c r="BZ39" s="7">
        <f>IF(ROUND((Weightings!$P$5*BY39^Weightings!$P$6*Weightings!$P$8 ),2)&lt;Weightings!$P$7,Weightings!$P$7,ROUND((Weightings!$P$5*BY39^Weightings!$P$6*Weightings!$P$8 ),2))</f>
        <v>1076.8399999999999</v>
      </c>
      <c r="CA39" s="8">
        <f>ROUND(BZ39/Weightings!$M$5,4)</f>
        <v>0.28060000000000002</v>
      </c>
      <c r="CB39" s="1">
        <f t="shared" si="122"/>
        <v>52.2</v>
      </c>
      <c r="CC39" s="173">
        <v>0</v>
      </c>
      <c r="CD39" s="173">
        <v>0</v>
      </c>
      <c r="CE39" s="173">
        <v>0</v>
      </c>
      <c r="CF39" s="177">
        <v>0</v>
      </c>
      <c r="CG39" s="2">
        <f>AS39*Weightings!$M$5*CF39</f>
        <v>0</v>
      </c>
      <c r="CH39" s="2">
        <f t="shared" si="123"/>
        <v>0</v>
      </c>
      <c r="CI39" s="117">
        <f t="shared" si="111"/>
        <v>0.23799999999999999</v>
      </c>
      <c r="CJ39" s="4">
        <f t="shared" si="112"/>
        <v>1.2</v>
      </c>
      <c r="CK39" s="1">
        <f t="shared" si="124"/>
        <v>0</v>
      </c>
      <c r="CL39" s="1">
        <f t="shared" si="125"/>
        <v>0</v>
      </c>
      <c r="CM39" s="1">
        <f t="shared" si="126"/>
        <v>0</v>
      </c>
      <c r="CN39" s="1">
        <f>IF(ISNA(VLOOKUP($CZ39,'Audit Values'!$A$2:$AE$439,2,FALSE)),'Preliminary SO66'!T36,VLOOKUP($CZ39,'Audit Values'!$A$2:$AE$439,20,FALSE))</f>
        <v>0</v>
      </c>
      <c r="CO39" s="1">
        <f t="shared" si="127"/>
        <v>0</v>
      </c>
      <c r="CP39" s="183">
        <v>0</v>
      </c>
      <c r="CQ39" s="1">
        <f t="shared" si="128"/>
        <v>0</v>
      </c>
      <c r="CR39" s="2">
        <f>IF(ISNA(VLOOKUP($CZ39,'Audit Values'!$A$2:$AE$439,2,FALSE)),'Preliminary SO66'!V36,VLOOKUP($CZ39,'Audit Values'!$A$2:$AE$439,22,FALSE))</f>
        <v>0</v>
      </c>
      <c r="CS39" s="1">
        <f t="shared" si="129"/>
        <v>0</v>
      </c>
      <c r="CT39" s="2">
        <f>IF(ISNA(VLOOKUP($CZ39,'Audit Values'!$A$2:$AE$439,2,FALSE)),'Preliminary SO66'!W36,VLOOKUP($CZ39,'Audit Values'!$A$2:$AE$439,23,FALSE))</f>
        <v>0</v>
      </c>
      <c r="CU39" s="1">
        <f t="shared" si="136"/>
        <v>0</v>
      </c>
      <c r="CV39" s="1">
        <f t="shared" si="137"/>
        <v>0</v>
      </c>
      <c r="CW39" s="176">
        <v>0</v>
      </c>
      <c r="CX39" s="2">
        <f>IF(CW39&gt;0,Weightings!$M$11*AR39,0)</f>
        <v>0</v>
      </c>
      <c r="CY39" s="2">
        <f t="shared" si="130"/>
        <v>0</v>
      </c>
      <c r="CZ39" s="108" t="s">
        <v>331</v>
      </c>
    </row>
    <row r="40" spans="1:104">
      <c r="A40" s="82">
        <v>225</v>
      </c>
      <c r="B40" s="4" t="s">
        <v>22</v>
      </c>
      <c r="C40" s="4" t="s">
        <v>667</v>
      </c>
      <c r="D40" s="1">
        <v>153.5</v>
      </c>
      <c r="E40" s="1">
        <v>0</v>
      </c>
      <c r="F40" s="1">
        <f t="shared" si="135"/>
        <v>153.5</v>
      </c>
      <c r="G40" s="1">
        <v>165</v>
      </c>
      <c r="H40" s="1">
        <v>0</v>
      </c>
      <c r="I40" s="1">
        <f t="shared" si="116"/>
        <v>165</v>
      </c>
      <c r="J40" s="1">
        <f t="shared" si="79"/>
        <v>154</v>
      </c>
      <c r="K40" s="1">
        <f>IF(ISNA(VLOOKUP($CZ40,'Audit Values'!$A$2:$AE$439,2,FALSE)),'Preliminary SO66'!B37,VLOOKUP($CZ40,'Audit Values'!$A$2:$AE$439,31,FALSE))</f>
        <v>154</v>
      </c>
      <c r="L40" s="1">
        <f t="shared" si="80"/>
        <v>165</v>
      </c>
      <c r="M40" s="1">
        <f>IF(ISNA(VLOOKUP($CZ40,'Audit Values'!$A$2:$AE$439,2,FALSE)),'Preliminary SO66'!Z37,VLOOKUP($CZ40,'Audit Values'!$A$2:$AE$439,26,FALSE))</f>
        <v>0</v>
      </c>
      <c r="N40" s="1">
        <f t="shared" si="81"/>
        <v>165</v>
      </c>
      <c r="O40" s="1">
        <f>IF(ISNA(VLOOKUP($CZ40,'Audit Values'!$A$2:$AE$439,2,FALSE)),'Preliminary SO66'!C37,IF(VLOOKUP($CZ40,'Audit Values'!$A$2:$AE$439,28,FALSE)="",VLOOKUP($CZ40,'Audit Values'!$A$2:$AE$439,3,FALSE),VLOOKUP($CZ40,'Audit Values'!$A$2:$AE$439,28,FALSE)))</f>
        <v>2</v>
      </c>
      <c r="P40" s="109">
        <f t="shared" si="82"/>
        <v>156</v>
      </c>
      <c r="Q40" s="110">
        <f t="shared" si="83"/>
        <v>156</v>
      </c>
      <c r="R40" s="111">
        <f t="shared" si="84"/>
        <v>156</v>
      </c>
      <c r="S40" s="1">
        <f t="shared" si="85"/>
        <v>167</v>
      </c>
      <c r="T40" s="1">
        <f t="shared" si="133"/>
        <v>0</v>
      </c>
      <c r="U40" s="1">
        <f t="shared" si="87"/>
        <v>139.69999999999999</v>
      </c>
      <c r="V40" s="1">
        <f t="shared" si="88"/>
        <v>139.69999999999999</v>
      </c>
      <c r="W40" s="1">
        <f t="shared" si="89"/>
        <v>0</v>
      </c>
      <c r="X40" s="1">
        <f>IF(ISNA(VLOOKUP($CZ40,'Audit Values'!$A$2:$AE$439,2,FALSE)),'Preliminary SO66'!D37,VLOOKUP($CZ40,'Audit Values'!$A$2:$AE$439,4,FALSE))</f>
        <v>0</v>
      </c>
      <c r="Y40" s="1">
        <f>ROUND((X40/6)*Weightings!$M$6,1)</f>
        <v>0</v>
      </c>
      <c r="Z40" s="1">
        <f>IF(ISNA(VLOOKUP($CZ40,'Audit Values'!$A$2:$AE$439,2,FALSE)),'Preliminary SO66'!F37,VLOOKUP($CZ40,'Audit Values'!$A$2:$AE$439,6,FALSE))</f>
        <v>28.2</v>
      </c>
      <c r="AA40" s="1">
        <f>ROUND((Z40/6)*Weightings!$M$7,1)</f>
        <v>1.9</v>
      </c>
      <c r="AB40" s="2">
        <f>IF(ISNA(VLOOKUP($CZ40,'Audit Values'!$A$2:$AE$439,2,FALSE)),'Preliminary SO66'!H37,VLOOKUP($CZ40,'Audit Values'!$A$2:$AE$439,8,FALSE))</f>
        <v>65</v>
      </c>
      <c r="AC40" s="1">
        <f>ROUND(AB40*Weightings!$M$8,1)</f>
        <v>29.6</v>
      </c>
      <c r="AD40" s="1">
        <f t="shared" si="117"/>
        <v>1.8</v>
      </c>
      <c r="AE40" s="185">
        <v>10</v>
      </c>
      <c r="AF40" s="1">
        <f>AE40*Weightings!$M$9</f>
        <v>0.5</v>
      </c>
      <c r="AG40" s="1">
        <f>IF(ISNA(VLOOKUP($CZ40,'Audit Values'!$A$2:$AE$439,2,FALSE)),'Preliminary SO66'!L37,VLOOKUP($CZ40,'Audit Values'!$A$2:$AE$439,12,FALSE))</f>
        <v>0</v>
      </c>
      <c r="AH40" s="1">
        <f>ROUND(AG40*Weightings!$M$10,1)</f>
        <v>0</v>
      </c>
      <c r="AI40" s="1">
        <f>IF(ISNA(VLOOKUP($CZ40,'Audit Values'!$A$2:$AE$439,2,FALSE)),'Preliminary SO66'!O37,VLOOKUP($CZ40,'Audit Values'!$A$2:$AE$439,15,FALSE))</f>
        <v>30</v>
      </c>
      <c r="AJ40" s="1">
        <f t="shared" si="90"/>
        <v>13</v>
      </c>
      <c r="AK40" s="1">
        <f>CC40/Weightings!$M$5</f>
        <v>0</v>
      </c>
      <c r="AL40" s="1">
        <f>CD40/Weightings!$M$5</f>
        <v>0</v>
      </c>
      <c r="AM40" s="1">
        <f>CH40/Weightings!$M$5</f>
        <v>0</v>
      </c>
      <c r="AN40" s="1">
        <f t="shared" si="118"/>
        <v>0</v>
      </c>
      <c r="AO40" s="1">
        <f>IF(ISNA(VLOOKUP($CZ40,'Audit Values'!$A$2:$AE$439,2,FALSE)),'Preliminary SO66'!X37,VLOOKUP($CZ40,'Audit Values'!$A$2:$AE$439,24,FALSE))</f>
        <v>0</v>
      </c>
      <c r="AP40" s="188">
        <v>117974</v>
      </c>
      <c r="AQ40" s="113">
        <f>AP40/Weightings!$M$5</f>
        <v>30.7</v>
      </c>
      <c r="AR40" s="113">
        <f t="shared" si="91"/>
        <v>353.5</v>
      </c>
      <c r="AS40" s="1">
        <f t="shared" si="92"/>
        <v>384.2</v>
      </c>
      <c r="AT40" s="1">
        <f t="shared" si="93"/>
        <v>384.2</v>
      </c>
      <c r="AU40" s="2">
        <f t="shared" si="119"/>
        <v>0</v>
      </c>
      <c r="AV40" s="82">
        <f>IF(ISNA(VLOOKUP($CZ40,'Audit Values'!$A$2:$AC$360,2,FALSE)),"",IF(AND(Weightings!H40&gt;0,VLOOKUP($CZ40,'Audit Values'!$A$2:$AC$360,29,FALSE)&lt;Weightings!H40),Weightings!H40,VLOOKUP($CZ40,'Audit Values'!$A$2:$AC$360,29,FALSE)))</f>
        <v>15</v>
      </c>
      <c r="AW40" s="82" t="str">
        <f>IF(ISNA(VLOOKUP($CZ40,'Audit Values'!$A$2:$AD$360,2,FALSE)),"",VLOOKUP($CZ40,'Audit Values'!$A$2:$AD$360,30,FALSE))</f>
        <v>A</v>
      </c>
      <c r="AX40" s="82" t="str">
        <f>IF(Weightings!G40="","",IF(Weightings!I40="Pending","PX","R"))</f>
        <v/>
      </c>
      <c r="AY40" s="114">
        <f>AR40*Weightings!$M$5+AU40</f>
        <v>1356733</v>
      </c>
      <c r="AZ40" s="2">
        <f>AT40*Weightings!$M$5+AU40</f>
        <v>1474560</v>
      </c>
      <c r="BA40" s="2">
        <f>IF(Weightings!G40&gt;0,Weightings!G40,'Preliminary SO66'!AB37)</f>
        <v>1514475</v>
      </c>
      <c r="BB40" s="2">
        <f t="shared" si="94"/>
        <v>1474560</v>
      </c>
      <c r="BC40" s="124"/>
      <c r="BD40" s="124">
        <f>Weightings!E40</f>
        <v>0</v>
      </c>
      <c r="BE40" s="124">
        <f>Weightings!F40</f>
        <v>0</v>
      </c>
      <c r="BF40" s="2">
        <f t="shared" si="95"/>
        <v>0</v>
      </c>
      <c r="BG40" s="2">
        <f t="shared" si="96"/>
        <v>1474560</v>
      </c>
      <c r="BH40" s="2">
        <f>MAX(ROUND(((AR40-AO40)*4433)+AP40,0),ROUND(((AR40-AO40)*4433)+Weightings!B40,0))</f>
        <v>1719853</v>
      </c>
      <c r="BI40" s="174">
        <v>0.3</v>
      </c>
      <c r="BJ40" s="2">
        <f t="shared" si="134"/>
        <v>515956</v>
      </c>
      <c r="BK40" s="173">
        <v>524733</v>
      </c>
      <c r="BL40" s="2">
        <f t="shared" si="98"/>
        <v>515956</v>
      </c>
      <c r="BM40" s="3">
        <f t="shared" si="120"/>
        <v>0.3</v>
      </c>
      <c r="BN40" s="1">
        <f t="shared" si="99"/>
        <v>0</v>
      </c>
      <c r="BO40" s="4" t="b">
        <f t="shared" si="100"/>
        <v>1</v>
      </c>
      <c r="BP40" s="5">
        <f t="shared" si="101"/>
        <v>646.88499999999999</v>
      </c>
      <c r="BQ40" s="6">
        <f t="shared" si="102"/>
        <v>0.83673299999999995</v>
      </c>
      <c r="BR40" s="4">
        <f t="shared" si="103"/>
        <v>139.69999999999999</v>
      </c>
      <c r="BS40" s="4" t="b">
        <f t="shared" si="104"/>
        <v>0</v>
      </c>
      <c r="BT40" s="4">
        <f t="shared" si="105"/>
        <v>0</v>
      </c>
      <c r="BU40" s="6">
        <f t="shared" si="106"/>
        <v>0</v>
      </c>
      <c r="BV40" s="1">
        <f t="shared" si="107"/>
        <v>0</v>
      </c>
      <c r="BW40" s="1">
        <f t="shared" si="108"/>
        <v>0</v>
      </c>
      <c r="BX40" s="116">
        <v>281</v>
      </c>
      <c r="BY40" s="7">
        <f t="shared" si="121"/>
        <v>0.11</v>
      </c>
      <c r="BZ40" s="7">
        <f>IF(ROUND((Weightings!$P$5*BY40^Weightings!$P$6*Weightings!$P$8 ),2)&lt;Weightings!$P$7,Weightings!$P$7,ROUND((Weightings!$P$5*BY40^Weightings!$P$6*Weightings!$P$8 ),2))</f>
        <v>1658.19</v>
      </c>
      <c r="CA40" s="8">
        <f>ROUND(BZ40/Weightings!$M$5,4)</f>
        <v>0.432</v>
      </c>
      <c r="CB40" s="1">
        <f t="shared" si="122"/>
        <v>13</v>
      </c>
      <c r="CC40" s="173">
        <v>0</v>
      </c>
      <c r="CD40" s="173">
        <v>0</v>
      </c>
      <c r="CE40" s="173">
        <v>0</v>
      </c>
      <c r="CF40" s="177">
        <v>0</v>
      </c>
      <c r="CG40" s="2">
        <f>AS40*Weightings!$M$5*CF40</f>
        <v>0</v>
      </c>
      <c r="CH40" s="2">
        <f t="shared" si="123"/>
        <v>0</v>
      </c>
      <c r="CI40" s="117">
        <f t="shared" si="111"/>
        <v>0.38900000000000001</v>
      </c>
      <c r="CJ40" s="4">
        <f t="shared" si="112"/>
        <v>0.6</v>
      </c>
      <c r="CK40" s="1">
        <f t="shared" si="124"/>
        <v>0</v>
      </c>
      <c r="CL40" s="1">
        <f t="shared" si="125"/>
        <v>0</v>
      </c>
      <c r="CM40" s="1">
        <f t="shared" si="126"/>
        <v>1.8</v>
      </c>
      <c r="CN40" s="1">
        <f>IF(ISNA(VLOOKUP($CZ40,'Audit Values'!$A$2:$AE$439,2,FALSE)),'Preliminary SO66'!T37,VLOOKUP($CZ40,'Audit Values'!$A$2:$AE$439,20,FALSE))</f>
        <v>0</v>
      </c>
      <c r="CO40" s="1">
        <f t="shared" si="127"/>
        <v>0</v>
      </c>
      <c r="CP40" s="183">
        <v>0</v>
      </c>
      <c r="CQ40" s="1">
        <f t="shared" si="128"/>
        <v>0</v>
      </c>
      <c r="CR40" s="2">
        <f>IF(ISNA(VLOOKUP($CZ40,'Audit Values'!$A$2:$AE$439,2,FALSE)),'Preliminary SO66'!V37,VLOOKUP($CZ40,'Audit Values'!$A$2:$AE$439,22,FALSE))</f>
        <v>0</v>
      </c>
      <c r="CS40" s="1">
        <f t="shared" si="129"/>
        <v>0</v>
      </c>
      <c r="CT40" s="2">
        <f>IF(ISNA(VLOOKUP($CZ40,'Audit Values'!$A$2:$AE$439,2,FALSE)),'Preliminary SO66'!W37,VLOOKUP($CZ40,'Audit Values'!$A$2:$AE$439,23,FALSE))</f>
        <v>0</v>
      </c>
      <c r="CU40" s="1">
        <f t="shared" si="136"/>
        <v>0</v>
      </c>
      <c r="CV40" s="1">
        <f t="shared" si="137"/>
        <v>0</v>
      </c>
      <c r="CW40" s="176">
        <v>0</v>
      </c>
      <c r="CX40" s="2">
        <f>IF(CW40&gt;0,Weightings!$M$11*AR40,0)</f>
        <v>0</v>
      </c>
      <c r="CY40" s="2">
        <f t="shared" si="130"/>
        <v>0</v>
      </c>
      <c r="CZ40" s="108" t="s">
        <v>332</v>
      </c>
    </row>
    <row r="41" spans="1:104">
      <c r="A41" s="82">
        <v>226</v>
      </c>
      <c r="B41" s="4" t="s">
        <v>22</v>
      </c>
      <c r="C41" s="4" t="s">
        <v>668</v>
      </c>
      <c r="D41" s="1">
        <v>440.8</v>
      </c>
      <c r="E41" s="1">
        <v>0</v>
      </c>
      <c r="F41" s="1">
        <f t="shared" si="135"/>
        <v>440.8</v>
      </c>
      <c r="G41" s="1">
        <v>416.3</v>
      </c>
      <c r="H41" s="1">
        <v>0</v>
      </c>
      <c r="I41" s="1">
        <f t="shared" si="116"/>
        <v>416.3</v>
      </c>
      <c r="J41" s="1">
        <f t="shared" si="79"/>
        <v>406.1</v>
      </c>
      <c r="K41" s="1">
        <f>IF(ISNA(VLOOKUP($CZ41,'Audit Values'!$A$2:$AE$439,2,FALSE)),'Preliminary SO66'!B38,VLOOKUP($CZ41,'Audit Values'!$A$2:$AE$439,31,FALSE))</f>
        <v>406.1</v>
      </c>
      <c r="L41" s="1">
        <f t="shared" si="80"/>
        <v>421.1</v>
      </c>
      <c r="M41" s="1">
        <f>IF(ISNA(VLOOKUP($CZ41,'Audit Values'!$A$2:$AE$439,2,FALSE)),'Preliminary SO66'!Z38,VLOOKUP($CZ41,'Audit Values'!$A$2:$AE$439,26,FALSE))</f>
        <v>0</v>
      </c>
      <c r="N41" s="1">
        <f t="shared" si="81"/>
        <v>421.1</v>
      </c>
      <c r="O41" s="1">
        <f>IF(ISNA(VLOOKUP($CZ41,'Audit Values'!$A$2:$AE$439,2,FALSE)),'Preliminary SO66'!C38,IF(VLOOKUP($CZ41,'Audit Values'!$A$2:$AE$439,28,FALSE)="",VLOOKUP($CZ41,'Audit Values'!$A$2:$AE$439,3,FALSE),VLOOKUP($CZ41,'Audit Values'!$A$2:$AE$439,28,FALSE)))</f>
        <v>3</v>
      </c>
      <c r="P41" s="109">
        <f t="shared" si="82"/>
        <v>409.1</v>
      </c>
      <c r="Q41" s="110">
        <f t="shared" si="83"/>
        <v>409.1</v>
      </c>
      <c r="R41" s="111">
        <f t="shared" si="84"/>
        <v>409.1</v>
      </c>
      <c r="S41" s="1">
        <f t="shared" si="85"/>
        <v>424.1</v>
      </c>
      <c r="T41" s="1">
        <f t="shared" si="133"/>
        <v>0</v>
      </c>
      <c r="U41" s="1">
        <f t="shared" si="87"/>
        <v>187.5</v>
      </c>
      <c r="V41" s="1">
        <f t="shared" si="88"/>
        <v>187.5</v>
      </c>
      <c r="W41" s="1">
        <f t="shared" si="89"/>
        <v>0</v>
      </c>
      <c r="X41" s="1">
        <f>IF(ISNA(VLOOKUP($CZ41,'Audit Values'!$A$2:$AE$439,2,FALSE)),'Preliminary SO66'!D38,VLOOKUP($CZ41,'Audit Values'!$A$2:$AE$439,4,FALSE))</f>
        <v>67.5</v>
      </c>
      <c r="Y41" s="1">
        <f>ROUND((X41/6)*Weightings!$M$6,1)</f>
        <v>5.6</v>
      </c>
      <c r="Z41" s="1">
        <f>IF(ISNA(VLOOKUP($CZ41,'Audit Values'!$A$2:$AE$439,2,FALSE)),'Preliminary SO66'!F38,VLOOKUP($CZ41,'Audit Values'!$A$2:$AE$439,6,FALSE))</f>
        <v>31.6</v>
      </c>
      <c r="AA41" s="1">
        <f>ROUND((Z41/6)*Weightings!$M$7,1)</f>
        <v>2.1</v>
      </c>
      <c r="AB41" s="2">
        <f>IF(ISNA(VLOOKUP($CZ41,'Audit Values'!$A$2:$AE$439,2,FALSE)),'Preliminary SO66'!H38,VLOOKUP($CZ41,'Audit Values'!$A$2:$AE$439,8,FALSE))</f>
        <v>142</v>
      </c>
      <c r="AC41" s="1">
        <f>ROUND(AB41*Weightings!$M$8,1)</f>
        <v>64.8</v>
      </c>
      <c r="AD41" s="1">
        <f t="shared" si="117"/>
        <v>0</v>
      </c>
      <c r="AE41" s="185">
        <v>24</v>
      </c>
      <c r="AF41" s="1">
        <f>AE41*Weightings!$M$9</f>
        <v>1.1000000000000001</v>
      </c>
      <c r="AG41" s="1">
        <f>IF(ISNA(VLOOKUP($CZ41,'Audit Values'!$A$2:$AE$439,2,FALSE)),'Preliminary SO66'!L38,VLOOKUP($CZ41,'Audit Values'!$A$2:$AE$439,12,FALSE))</f>
        <v>0</v>
      </c>
      <c r="AH41" s="1">
        <f>ROUND(AG41*Weightings!$M$10,1)</f>
        <v>0</v>
      </c>
      <c r="AI41" s="1">
        <f>IF(ISNA(VLOOKUP($CZ41,'Audit Values'!$A$2:$AE$439,2,FALSE)),'Preliminary SO66'!O38,VLOOKUP($CZ41,'Audit Values'!$A$2:$AE$439,15,FALSE))</f>
        <v>69.5</v>
      </c>
      <c r="AJ41" s="1">
        <f t="shared" si="90"/>
        <v>27.6</v>
      </c>
      <c r="AK41" s="1">
        <f>CC41/Weightings!$M$5</f>
        <v>0</v>
      </c>
      <c r="AL41" s="1">
        <f>CD41/Weightings!$M$5</f>
        <v>0</v>
      </c>
      <c r="AM41" s="1">
        <f>CH41/Weightings!$M$5</f>
        <v>0</v>
      </c>
      <c r="AN41" s="1">
        <f t="shared" si="118"/>
        <v>0</v>
      </c>
      <c r="AO41" s="1">
        <f>IF(ISNA(VLOOKUP($CZ41,'Audit Values'!$A$2:$AE$439,2,FALSE)),'Preliminary SO66'!X38,VLOOKUP($CZ41,'Audit Values'!$A$2:$AE$439,24,FALSE))</f>
        <v>0</v>
      </c>
      <c r="AP41" s="188">
        <v>313514</v>
      </c>
      <c r="AQ41" s="113">
        <f>AP41/Weightings!$M$5</f>
        <v>81.7</v>
      </c>
      <c r="AR41" s="113">
        <f t="shared" si="91"/>
        <v>712.8</v>
      </c>
      <c r="AS41" s="1">
        <f t="shared" si="92"/>
        <v>794.5</v>
      </c>
      <c r="AT41" s="1">
        <f t="shared" si="93"/>
        <v>794.5</v>
      </c>
      <c r="AU41" s="2">
        <f t="shared" si="119"/>
        <v>0</v>
      </c>
      <c r="AV41" s="82">
        <f>IF(ISNA(VLOOKUP($CZ41,'Audit Values'!$A$2:$AC$360,2,FALSE)),"",IF(AND(Weightings!H41&gt;0,VLOOKUP($CZ41,'Audit Values'!$A$2:$AC$360,29,FALSE)&lt;Weightings!H41),Weightings!H41,VLOOKUP($CZ41,'Audit Values'!$A$2:$AC$360,29,FALSE)))</f>
        <v>15</v>
      </c>
      <c r="AW41" s="82" t="str">
        <f>IF(ISNA(VLOOKUP($CZ41,'Audit Values'!$A$2:$AD$360,2,FALSE)),"",VLOOKUP($CZ41,'Audit Values'!$A$2:$AD$360,30,FALSE))</f>
        <v>A</v>
      </c>
      <c r="AX41" s="82" t="str">
        <f>IF(Weightings!G41="","",IF(Weightings!I41="Pending","PX","R"))</f>
        <v/>
      </c>
      <c r="AY41" s="114">
        <f>AR41*Weightings!$M$5+AU41</f>
        <v>2735726</v>
      </c>
      <c r="AZ41" s="2">
        <f>AT41*Weightings!$M$5+AU41</f>
        <v>3049291</v>
      </c>
      <c r="BA41" s="2">
        <f>IF(Weightings!G41&gt;0,Weightings!G41,'Preliminary SO66'!AB38)</f>
        <v>3149579</v>
      </c>
      <c r="BB41" s="2">
        <f t="shared" si="94"/>
        <v>3049291</v>
      </c>
      <c r="BC41" s="124"/>
      <c r="BD41" s="124">
        <f>Weightings!E41</f>
        <v>0</v>
      </c>
      <c r="BE41" s="124">
        <f>Weightings!F41</f>
        <v>0</v>
      </c>
      <c r="BF41" s="2">
        <f t="shared" si="95"/>
        <v>0</v>
      </c>
      <c r="BG41" s="2">
        <f t="shared" si="96"/>
        <v>3049291</v>
      </c>
      <c r="BH41" s="2">
        <f>MAX(ROUND(((AR41-AO41)*4433)+AP41,0),ROUND(((AR41-AO41)*4433)+Weightings!B41,0))</f>
        <v>3553436</v>
      </c>
      <c r="BI41" s="174">
        <v>0.3</v>
      </c>
      <c r="BJ41" s="2">
        <f t="shared" si="134"/>
        <v>1066031</v>
      </c>
      <c r="BK41" s="173">
        <v>1074276</v>
      </c>
      <c r="BL41" s="2">
        <f t="shared" si="98"/>
        <v>1066031</v>
      </c>
      <c r="BM41" s="3">
        <f t="shared" si="120"/>
        <v>0.3</v>
      </c>
      <c r="BN41" s="1">
        <f t="shared" si="99"/>
        <v>0</v>
      </c>
      <c r="BO41" s="4" t="b">
        <f t="shared" si="100"/>
        <v>0</v>
      </c>
      <c r="BP41" s="5">
        <f t="shared" si="101"/>
        <v>0</v>
      </c>
      <c r="BQ41" s="6">
        <f t="shared" si="102"/>
        <v>0</v>
      </c>
      <c r="BR41" s="4">
        <f t="shared" si="103"/>
        <v>0</v>
      </c>
      <c r="BS41" s="4" t="b">
        <f t="shared" si="104"/>
        <v>1</v>
      </c>
      <c r="BT41" s="4">
        <f t="shared" si="105"/>
        <v>153.57380000000001</v>
      </c>
      <c r="BU41" s="6">
        <f t="shared" si="106"/>
        <v>0.442023</v>
      </c>
      <c r="BV41" s="1">
        <f t="shared" si="107"/>
        <v>187.5</v>
      </c>
      <c r="BW41" s="1">
        <f t="shared" si="108"/>
        <v>0</v>
      </c>
      <c r="BX41" s="116">
        <v>440</v>
      </c>
      <c r="BY41" s="7">
        <f t="shared" si="121"/>
        <v>0.16</v>
      </c>
      <c r="BZ41" s="7">
        <f>IF(ROUND((Weightings!$P$5*BY41^Weightings!$P$6*Weightings!$P$8 ),2)&lt;Weightings!$P$7,Weightings!$P$7,ROUND((Weightings!$P$5*BY41^Weightings!$P$6*Weightings!$P$8 ),2))</f>
        <v>1522.35</v>
      </c>
      <c r="CA41" s="8">
        <f>ROUND(BZ41/Weightings!$M$5,4)</f>
        <v>0.3967</v>
      </c>
      <c r="CB41" s="1">
        <f t="shared" si="122"/>
        <v>27.6</v>
      </c>
      <c r="CC41" s="173">
        <v>0</v>
      </c>
      <c r="CD41" s="173">
        <v>0</v>
      </c>
      <c r="CE41" s="173">
        <v>0</v>
      </c>
      <c r="CF41" s="177">
        <v>0</v>
      </c>
      <c r="CG41" s="2">
        <f>AS41*Weightings!$M$5*CF41</f>
        <v>0</v>
      </c>
      <c r="CH41" s="2">
        <f t="shared" si="123"/>
        <v>0</v>
      </c>
      <c r="CI41" s="117">
        <f t="shared" si="111"/>
        <v>0.33500000000000002</v>
      </c>
      <c r="CJ41" s="4">
        <f t="shared" si="112"/>
        <v>1</v>
      </c>
      <c r="CK41" s="1">
        <f t="shared" si="124"/>
        <v>0</v>
      </c>
      <c r="CL41" s="1">
        <f t="shared" si="125"/>
        <v>0</v>
      </c>
      <c r="CM41" s="1">
        <f t="shared" si="126"/>
        <v>0</v>
      </c>
      <c r="CN41" s="1">
        <f>IF(ISNA(VLOOKUP($CZ41,'Audit Values'!$A$2:$AE$439,2,FALSE)),'Preliminary SO66'!T38,VLOOKUP($CZ41,'Audit Values'!$A$2:$AE$439,20,FALSE))</f>
        <v>0</v>
      </c>
      <c r="CO41" s="1">
        <f t="shared" si="127"/>
        <v>0</v>
      </c>
      <c r="CP41" s="183">
        <v>0</v>
      </c>
      <c r="CQ41" s="1">
        <f t="shared" si="128"/>
        <v>0</v>
      </c>
      <c r="CR41" s="2">
        <f>IF(ISNA(VLOOKUP($CZ41,'Audit Values'!$A$2:$AE$439,2,FALSE)),'Preliminary SO66'!V38,VLOOKUP($CZ41,'Audit Values'!$A$2:$AE$439,22,FALSE))</f>
        <v>0</v>
      </c>
      <c r="CS41" s="1">
        <f t="shared" si="129"/>
        <v>0</v>
      </c>
      <c r="CT41" s="2">
        <f>IF(ISNA(VLOOKUP($CZ41,'Audit Values'!$A$2:$AE$439,2,FALSE)),'Preliminary SO66'!W38,VLOOKUP($CZ41,'Audit Values'!$A$2:$AE$439,23,FALSE))</f>
        <v>0</v>
      </c>
      <c r="CU41" s="1">
        <f t="shared" si="136"/>
        <v>0</v>
      </c>
      <c r="CV41" s="1">
        <f t="shared" si="137"/>
        <v>0</v>
      </c>
      <c r="CW41" s="176">
        <v>0</v>
      </c>
      <c r="CX41" s="2">
        <f>IF(CW41&gt;0,Weightings!$M$11*AR41,0)</f>
        <v>0</v>
      </c>
      <c r="CY41" s="2">
        <f t="shared" si="130"/>
        <v>0</v>
      </c>
      <c r="CZ41" s="108" t="s">
        <v>333</v>
      </c>
    </row>
    <row r="42" spans="1:104">
      <c r="A42" s="82">
        <v>227</v>
      </c>
      <c r="B42" s="4" t="s">
        <v>23</v>
      </c>
      <c r="C42" s="4" t="s">
        <v>669</v>
      </c>
      <c r="D42" s="1">
        <v>302</v>
      </c>
      <c r="E42" s="1">
        <v>0</v>
      </c>
      <c r="F42" s="1">
        <f t="shared" si="135"/>
        <v>302</v>
      </c>
      <c r="G42" s="1">
        <v>311.39999999999998</v>
      </c>
      <c r="H42" s="1">
        <v>0</v>
      </c>
      <c r="I42" s="1">
        <f t="shared" si="116"/>
        <v>311.39999999999998</v>
      </c>
      <c r="J42" s="1">
        <f t="shared" si="79"/>
        <v>291.5</v>
      </c>
      <c r="K42" s="1">
        <f>IF(ISNA(VLOOKUP($CZ42,'Audit Values'!$A$2:$AE$439,2,FALSE)),'Preliminary SO66'!B39,VLOOKUP($CZ42,'Audit Values'!$A$2:$AE$439,31,FALSE))</f>
        <v>291.5</v>
      </c>
      <c r="L42" s="1">
        <f t="shared" si="80"/>
        <v>311.39999999999998</v>
      </c>
      <c r="M42" s="1">
        <f>IF(ISNA(VLOOKUP($CZ42,'Audit Values'!$A$2:$AE$439,2,FALSE)),'Preliminary SO66'!Z39,VLOOKUP($CZ42,'Audit Values'!$A$2:$AE$439,26,FALSE))</f>
        <v>0</v>
      </c>
      <c r="N42" s="1">
        <f t="shared" si="81"/>
        <v>311.39999999999998</v>
      </c>
      <c r="O42" s="1">
        <f>IF(ISNA(VLOOKUP($CZ42,'Audit Values'!$A$2:$AE$439,2,FALSE)),'Preliminary SO66'!C39,IF(VLOOKUP($CZ42,'Audit Values'!$A$2:$AE$439,28,FALSE)="",VLOOKUP($CZ42,'Audit Values'!$A$2:$AE$439,3,FALSE),VLOOKUP($CZ42,'Audit Values'!$A$2:$AE$439,28,FALSE)))</f>
        <v>0</v>
      </c>
      <c r="P42" s="109">
        <f t="shared" si="82"/>
        <v>291.5</v>
      </c>
      <c r="Q42" s="110">
        <f t="shared" si="83"/>
        <v>291.5</v>
      </c>
      <c r="R42" s="111">
        <f t="shared" si="84"/>
        <v>291.5</v>
      </c>
      <c r="S42" s="1">
        <f t="shared" si="85"/>
        <v>311.39999999999998</v>
      </c>
      <c r="T42" s="1">
        <f t="shared" si="133"/>
        <v>0</v>
      </c>
      <c r="U42" s="1">
        <f t="shared" si="87"/>
        <v>149.6</v>
      </c>
      <c r="V42" s="1">
        <f t="shared" si="88"/>
        <v>149.6</v>
      </c>
      <c r="W42" s="1">
        <f t="shared" si="89"/>
        <v>0</v>
      </c>
      <c r="X42" s="1">
        <f>IF(ISNA(VLOOKUP($CZ42,'Audit Values'!$A$2:$AE$439,2,FALSE)),'Preliminary SO66'!D39,VLOOKUP($CZ42,'Audit Values'!$A$2:$AE$439,4,FALSE))</f>
        <v>52</v>
      </c>
      <c r="Y42" s="1">
        <f>ROUND((X42/6)*Weightings!$M$6,1)</f>
        <v>4.3</v>
      </c>
      <c r="Z42" s="1">
        <f>IF(ISNA(VLOOKUP($CZ42,'Audit Values'!$A$2:$AE$439,2,FALSE)),'Preliminary SO66'!F39,VLOOKUP($CZ42,'Audit Values'!$A$2:$AE$439,6,FALSE))</f>
        <v>14.3</v>
      </c>
      <c r="AA42" s="1">
        <f>ROUND((Z42/6)*Weightings!$M$7,1)</f>
        <v>0.9</v>
      </c>
      <c r="AB42" s="2">
        <f>IF(ISNA(VLOOKUP($CZ42,'Audit Values'!$A$2:$AE$439,2,FALSE)),'Preliminary SO66'!H39,VLOOKUP($CZ42,'Audit Values'!$A$2:$AE$439,8,FALSE))</f>
        <v>71</v>
      </c>
      <c r="AC42" s="1">
        <f>ROUND(AB42*Weightings!$M$8,1)</f>
        <v>32.4</v>
      </c>
      <c r="AD42" s="1">
        <f t="shared" si="117"/>
        <v>0</v>
      </c>
      <c r="AE42" s="185">
        <v>23</v>
      </c>
      <c r="AF42" s="1">
        <f>AE42*Weightings!$M$9</f>
        <v>1.1000000000000001</v>
      </c>
      <c r="AG42" s="1">
        <f>IF(ISNA(VLOOKUP($CZ42,'Audit Values'!$A$2:$AE$439,2,FALSE)),'Preliminary SO66'!L39,VLOOKUP($CZ42,'Audit Values'!$A$2:$AE$439,12,FALSE))</f>
        <v>0</v>
      </c>
      <c r="AH42" s="1">
        <f>ROUND(AG42*Weightings!$M$10,1)</f>
        <v>0</v>
      </c>
      <c r="AI42" s="1">
        <f>IF(ISNA(VLOOKUP($CZ42,'Audit Values'!$A$2:$AE$439,2,FALSE)),'Preliminary SO66'!O39,VLOOKUP($CZ42,'Audit Values'!$A$2:$AE$439,15,FALSE))</f>
        <v>126.5</v>
      </c>
      <c r="AJ42" s="1">
        <f t="shared" si="90"/>
        <v>50.2</v>
      </c>
      <c r="AK42" s="1">
        <f>CC42/Weightings!$M$5</f>
        <v>0</v>
      </c>
      <c r="AL42" s="1">
        <f>CD42/Weightings!$M$5</f>
        <v>0</v>
      </c>
      <c r="AM42" s="1">
        <f>CH42/Weightings!$M$5</f>
        <v>0</v>
      </c>
      <c r="AN42" s="1">
        <f t="shared" si="118"/>
        <v>0</v>
      </c>
      <c r="AO42" s="1">
        <f>IF(ISNA(VLOOKUP($CZ42,'Audit Values'!$A$2:$AE$439,2,FALSE)),'Preliminary SO66'!X39,VLOOKUP($CZ42,'Audit Values'!$A$2:$AE$439,24,FALSE))</f>
        <v>0</v>
      </c>
      <c r="AP42" s="188">
        <v>219527</v>
      </c>
      <c r="AQ42" s="113">
        <f>AP42/Weightings!$M$5</f>
        <v>57.2</v>
      </c>
      <c r="AR42" s="113">
        <f t="shared" si="91"/>
        <v>549.9</v>
      </c>
      <c r="AS42" s="1">
        <f t="shared" si="92"/>
        <v>607.1</v>
      </c>
      <c r="AT42" s="1">
        <f t="shared" si="93"/>
        <v>607.1</v>
      </c>
      <c r="AU42" s="2">
        <f t="shared" si="119"/>
        <v>0</v>
      </c>
      <c r="AV42" s="82">
        <f>IF(ISNA(VLOOKUP($CZ42,'Audit Values'!$A$2:$AC$360,2,FALSE)),"",IF(AND(Weightings!H42&gt;0,VLOOKUP($CZ42,'Audit Values'!$A$2:$AC$360,29,FALSE)&lt;Weightings!H42),Weightings!H42,VLOOKUP($CZ42,'Audit Values'!$A$2:$AC$360,29,FALSE)))</f>
        <v>26</v>
      </c>
      <c r="AW42" s="82" t="str">
        <f>IF(ISNA(VLOOKUP($CZ42,'Audit Values'!$A$2:$AD$360,2,FALSE)),"",VLOOKUP($CZ42,'Audit Values'!$A$2:$AD$360,30,FALSE))</f>
        <v>A</v>
      </c>
      <c r="AX42" s="82" t="str">
        <f>IF(Weightings!G42="","",IF(Weightings!I42="Pending","PX","R"))</f>
        <v/>
      </c>
      <c r="AY42" s="141">
        <f>Exceptions!B76+AU42</f>
        <v>2598747</v>
      </c>
      <c r="AZ42" s="138">
        <f>Exceptions!B78+AU42</f>
        <v>2818281</v>
      </c>
      <c r="BA42" s="2">
        <f>IF(Weightings!G42&gt;0,Weightings!G42,'Preliminary SO66'!AB39)</f>
        <v>2848601</v>
      </c>
      <c r="BB42" s="2">
        <f t="shared" si="94"/>
        <v>2818281</v>
      </c>
      <c r="BC42" s="124"/>
      <c r="BD42" s="124">
        <f>Weightings!E42</f>
        <v>0</v>
      </c>
      <c r="BE42" s="124">
        <f>Weightings!F42</f>
        <v>0</v>
      </c>
      <c r="BF42" s="2">
        <f t="shared" si="95"/>
        <v>0</v>
      </c>
      <c r="BG42" s="2">
        <f t="shared" si="96"/>
        <v>2818281</v>
      </c>
      <c r="BH42" s="2">
        <f>MAX(ROUND(((AR42-AO42)*4433)+AP42,0),ROUND(((AR42-AO42)*4433)+Weightings!B42,0))</f>
        <v>2758359</v>
      </c>
      <c r="BI42" s="174">
        <v>0.3</v>
      </c>
      <c r="BJ42" s="2">
        <f t="shared" si="134"/>
        <v>827508</v>
      </c>
      <c r="BK42" s="173">
        <v>834822</v>
      </c>
      <c r="BL42" s="2">
        <f t="shared" si="98"/>
        <v>827508</v>
      </c>
      <c r="BM42" s="3">
        <f t="shared" si="120"/>
        <v>0.3</v>
      </c>
      <c r="BN42" s="1">
        <f t="shared" si="99"/>
        <v>0</v>
      </c>
      <c r="BO42" s="4" t="b">
        <f t="shared" si="100"/>
        <v>0</v>
      </c>
      <c r="BP42" s="5">
        <f t="shared" si="101"/>
        <v>0</v>
      </c>
      <c r="BQ42" s="6">
        <f t="shared" si="102"/>
        <v>0</v>
      </c>
      <c r="BR42" s="4">
        <f t="shared" si="103"/>
        <v>0</v>
      </c>
      <c r="BS42" s="4" t="b">
        <f t="shared" si="104"/>
        <v>1</v>
      </c>
      <c r="BT42" s="4">
        <f t="shared" si="105"/>
        <v>14.1075</v>
      </c>
      <c r="BU42" s="6">
        <f t="shared" si="106"/>
        <v>0.48031299999999999</v>
      </c>
      <c r="BV42" s="1">
        <f t="shared" si="107"/>
        <v>149.6</v>
      </c>
      <c r="BW42" s="1">
        <f t="shared" si="108"/>
        <v>0</v>
      </c>
      <c r="BX42" s="116">
        <v>807.5</v>
      </c>
      <c r="BY42" s="7">
        <f t="shared" si="121"/>
        <v>0.16</v>
      </c>
      <c r="BZ42" s="7">
        <f>IF(ROUND((Weightings!$P$5*BY42^Weightings!$P$6*Weightings!$P$8 ),2)&lt;Weightings!$P$7,Weightings!$P$7,ROUND((Weightings!$P$5*BY42^Weightings!$P$6*Weightings!$P$8 ),2))</f>
        <v>1522.35</v>
      </c>
      <c r="CA42" s="8">
        <f>ROUND(BZ42/Weightings!$M$5,4)</f>
        <v>0.3967</v>
      </c>
      <c r="CB42" s="1">
        <f t="shared" si="122"/>
        <v>50.2</v>
      </c>
      <c r="CC42" s="173">
        <v>0</v>
      </c>
      <c r="CD42" s="173">
        <v>0</v>
      </c>
      <c r="CE42" s="173">
        <v>0</v>
      </c>
      <c r="CF42" s="177">
        <v>0</v>
      </c>
      <c r="CG42" s="2">
        <f>AS42*Weightings!$M$5*CF42</f>
        <v>0</v>
      </c>
      <c r="CH42" s="2">
        <f t="shared" si="123"/>
        <v>0</v>
      </c>
      <c r="CI42" s="117">
        <f t="shared" si="111"/>
        <v>0.22800000000000001</v>
      </c>
      <c r="CJ42" s="4">
        <f t="shared" si="112"/>
        <v>0.4</v>
      </c>
      <c r="CK42" s="1">
        <f t="shared" si="124"/>
        <v>0</v>
      </c>
      <c r="CL42" s="1">
        <f t="shared" si="125"/>
        <v>0</v>
      </c>
      <c r="CM42" s="1">
        <f t="shared" si="126"/>
        <v>0</v>
      </c>
      <c r="CN42" s="1">
        <f>IF(ISNA(VLOOKUP($CZ42,'Audit Values'!$A$2:$AE$439,2,FALSE)),'Preliminary SO66'!T39,VLOOKUP($CZ42,'Audit Values'!$A$2:$AE$439,20,FALSE))</f>
        <v>0</v>
      </c>
      <c r="CO42" s="1">
        <f t="shared" si="127"/>
        <v>0</v>
      </c>
      <c r="CP42" s="183">
        <v>0</v>
      </c>
      <c r="CQ42" s="1">
        <f t="shared" si="128"/>
        <v>0</v>
      </c>
      <c r="CR42" s="2">
        <f>IF(ISNA(VLOOKUP($CZ42,'Audit Values'!$A$2:$AE$439,2,FALSE)),'Preliminary SO66'!V39,VLOOKUP($CZ42,'Audit Values'!$A$2:$AE$439,22,FALSE))</f>
        <v>0</v>
      </c>
      <c r="CS42" s="1">
        <f t="shared" si="129"/>
        <v>0</v>
      </c>
      <c r="CT42" s="2">
        <f>IF(ISNA(VLOOKUP($CZ42,'Audit Values'!$A$2:$AE$439,2,FALSE)),'Preliminary SO66'!W39,VLOOKUP($CZ42,'Audit Values'!$A$2:$AE$439,23,FALSE))</f>
        <v>0</v>
      </c>
      <c r="CU42" s="1">
        <f t="shared" si="136"/>
        <v>0</v>
      </c>
      <c r="CV42" s="1">
        <f t="shared" si="137"/>
        <v>0</v>
      </c>
      <c r="CW42" s="176">
        <v>0</v>
      </c>
      <c r="CX42" s="2">
        <f>IF(CW42&gt;0,Weightings!$M$11*AR42,0)</f>
        <v>0</v>
      </c>
      <c r="CY42" s="2">
        <f t="shared" si="130"/>
        <v>0</v>
      </c>
      <c r="CZ42" s="108" t="s">
        <v>334</v>
      </c>
    </row>
    <row r="43" spans="1:104">
      <c r="A43" s="82">
        <v>229</v>
      </c>
      <c r="B43" s="4" t="s">
        <v>24</v>
      </c>
      <c r="C43" s="4" t="s">
        <v>670</v>
      </c>
      <c r="D43" s="1">
        <v>20897.7</v>
      </c>
      <c r="E43" s="1">
        <v>0</v>
      </c>
      <c r="F43" s="1">
        <f t="shared" si="135"/>
        <v>20897.7</v>
      </c>
      <c r="G43" s="1">
        <v>21134.6</v>
      </c>
      <c r="H43" s="1">
        <v>0</v>
      </c>
      <c r="I43" s="1">
        <f t="shared" si="116"/>
        <v>21134.6</v>
      </c>
      <c r="J43" s="1">
        <f t="shared" si="79"/>
        <v>21371.5</v>
      </c>
      <c r="K43" s="1">
        <f>IF(ISNA(VLOOKUP($CZ43,'Audit Values'!$A$2:$AE$439,2,FALSE)),'Preliminary SO66'!B40,VLOOKUP($CZ43,'Audit Values'!$A$2:$AE$439,31,FALSE))</f>
        <v>21371</v>
      </c>
      <c r="L43" s="1">
        <f t="shared" si="80"/>
        <v>21371</v>
      </c>
      <c r="M43" s="1">
        <f>IF(ISNA(VLOOKUP($CZ43,'Audit Values'!$A$2:$AE$439,2,FALSE)),'Preliminary SO66'!Z40,VLOOKUP($CZ43,'Audit Values'!$A$2:$AE$439,26,FALSE))</f>
        <v>0</v>
      </c>
      <c r="N43" s="1">
        <f t="shared" si="81"/>
        <v>21371</v>
      </c>
      <c r="O43" s="1">
        <f>IF(ISNA(VLOOKUP($CZ43,'Audit Values'!$A$2:$AE$439,2,FALSE)),'Preliminary SO66'!C40,IF(VLOOKUP($CZ43,'Audit Values'!$A$2:$AE$439,28,FALSE)="",VLOOKUP($CZ43,'Audit Values'!$A$2:$AE$439,3,FALSE),VLOOKUP($CZ43,'Audit Values'!$A$2:$AE$439,28,FALSE)))</f>
        <v>0</v>
      </c>
      <c r="P43" s="109">
        <f t="shared" si="82"/>
        <v>21371</v>
      </c>
      <c r="Q43" s="110">
        <f t="shared" si="83"/>
        <v>21371.5</v>
      </c>
      <c r="R43" s="111">
        <f t="shared" si="84"/>
        <v>21371.5</v>
      </c>
      <c r="S43" s="1">
        <f t="shared" si="85"/>
        <v>21371</v>
      </c>
      <c r="T43" s="1">
        <f t="shared" si="133"/>
        <v>0.5</v>
      </c>
      <c r="U43" s="1">
        <f t="shared" si="87"/>
        <v>748.8</v>
      </c>
      <c r="V43" s="1">
        <f t="shared" si="88"/>
        <v>0</v>
      </c>
      <c r="W43" s="1">
        <f t="shared" si="89"/>
        <v>748.8</v>
      </c>
      <c r="X43" s="1">
        <f>IF(ISNA(VLOOKUP($CZ43,'Audit Values'!$A$2:$AE$439,2,FALSE)),'Preliminary SO66'!D40,VLOOKUP($CZ43,'Audit Values'!$A$2:$AE$439,4,FALSE))</f>
        <v>4602.3999999999996</v>
      </c>
      <c r="Y43" s="1">
        <f>ROUND((X43/6)*Weightings!$M$6,1)</f>
        <v>383.5</v>
      </c>
      <c r="Z43" s="1">
        <f>IF(ISNA(VLOOKUP($CZ43,'Audit Values'!$A$2:$AE$439,2,FALSE)),'Preliminary SO66'!F40,VLOOKUP($CZ43,'Audit Values'!$A$2:$AE$439,6,FALSE))</f>
        <v>518.6</v>
      </c>
      <c r="AA43" s="1">
        <f>ROUND((Z43/6)*Weightings!$M$7,1)</f>
        <v>34.1</v>
      </c>
      <c r="AB43" s="2">
        <f>IF(ISNA(VLOOKUP($CZ43,'Audit Values'!$A$2:$AE$439,2,FALSE)),'Preliminary SO66'!H40,VLOOKUP($CZ43,'Audit Values'!$A$2:$AE$439,8,FALSE))</f>
        <v>1307</v>
      </c>
      <c r="AC43" s="1">
        <f>ROUND(AB43*Weightings!$M$8,1)</f>
        <v>596</v>
      </c>
      <c r="AD43" s="1">
        <f t="shared" si="117"/>
        <v>0</v>
      </c>
      <c r="AE43" s="182">
        <v>1131</v>
      </c>
      <c r="AF43" s="1">
        <f>AE43*Weightings!$M$9</f>
        <v>52.6</v>
      </c>
      <c r="AG43" s="1">
        <f>IF(ISNA(VLOOKUP($CZ43,'Audit Values'!$A$2:$AE$439,2,FALSE)),'Preliminary SO66'!L40,VLOOKUP($CZ43,'Audit Values'!$A$2:$AE$439,12,FALSE))</f>
        <v>21.3</v>
      </c>
      <c r="AH43" s="1">
        <f>ROUND(AG43*Weightings!$M$10,1)</f>
        <v>5.3</v>
      </c>
      <c r="AI43" s="1">
        <f>IF(ISNA(VLOOKUP($CZ43,'Audit Values'!$A$2:$AE$439,2,FALSE)),'Preliminary SO66'!O40,VLOOKUP($CZ43,'Audit Values'!$A$2:$AE$439,15,FALSE))</f>
        <v>4996.8999999999996</v>
      </c>
      <c r="AJ43" s="1">
        <f t="shared" si="90"/>
        <v>761.5</v>
      </c>
      <c r="AK43" s="1">
        <f>CC43/Weightings!$M$5</f>
        <v>3444.6</v>
      </c>
      <c r="AL43" s="1">
        <f>CD43/Weightings!$M$5</f>
        <v>0</v>
      </c>
      <c r="AM43" s="1">
        <f>CH43/Weightings!$M$5</f>
        <v>1630.9</v>
      </c>
      <c r="AN43" s="1">
        <f t="shared" si="118"/>
        <v>0.5</v>
      </c>
      <c r="AO43" s="1">
        <f>IF(ISNA(VLOOKUP($CZ43,'Audit Values'!$A$2:$AE$439,2,FALSE)),'Preliminary SO66'!X40,VLOOKUP($CZ43,'Audit Values'!$A$2:$AE$439,24,FALSE))</f>
        <v>0</v>
      </c>
      <c r="AP43" s="188">
        <v>20033901</v>
      </c>
      <c r="AQ43" s="113">
        <f>AP43/Weightings!$M$5</f>
        <v>5219.8999999999996</v>
      </c>
      <c r="AR43" s="113">
        <f t="shared" si="91"/>
        <v>29028.799999999999</v>
      </c>
      <c r="AS43" s="1">
        <f t="shared" si="92"/>
        <v>32617.8</v>
      </c>
      <c r="AT43" s="1">
        <f t="shared" si="93"/>
        <v>34248.699999999997</v>
      </c>
      <c r="AU43" s="2">
        <f t="shared" si="119"/>
        <v>0</v>
      </c>
      <c r="AV43" s="82">
        <f>IF(ISNA(VLOOKUP($CZ43,'Audit Values'!$A$2:$AC$360,2,FALSE)),"",IF(AND(Weightings!H43&gt;0,VLOOKUP($CZ43,'Audit Values'!$A$2:$AC$360,29,FALSE)&lt;Weightings!H43),Weightings!H43,VLOOKUP($CZ43,'Audit Values'!$A$2:$AC$360,29,FALSE)))</f>
        <v>26</v>
      </c>
      <c r="AW43" s="82" t="str">
        <f>IF(ISNA(VLOOKUP($CZ43,'Audit Values'!$A$2:$AD$360,2,FALSE)),"",VLOOKUP($CZ43,'Audit Values'!$A$2:$AD$360,30,FALSE))</f>
        <v>A</v>
      </c>
      <c r="AX43" s="82" t="str">
        <f>IF(Weightings!G43="","",IF(Weightings!I43="Pending","PX","R"))</f>
        <v/>
      </c>
      <c r="AY43" s="114">
        <f>AR43*Weightings!$M$5+AU43</f>
        <v>111412534</v>
      </c>
      <c r="AZ43" s="2">
        <f>AT43*Weightings!$M$5+AU43</f>
        <v>131446511</v>
      </c>
      <c r="BA43" s="2">
        <f>IF(Weightings!G43&gt;0,Weightings!G43,'Preliminary SO66'!AB40)</f>
        <v>132855440</v>
      </c>
      <c r="BB43" s="2">
        <f t="shared" si="94"/>
        <v>131446511</v>
      </c>
      <c r="BC43" s="124"/>
      <c r="BD43" s="124">
        <f>Weightings!E43</f>
        <v>-35645</v>
      </c>
      <c r="BE43" s="124">
        <f>Weightings!F43</f>
        <v>0</v>
      </c>
      <c r="BF43" s="2">
        <f t="shared" si="95"/>
        <v>-35645</v>
      </c>
      <c r="BG43" s="2">
        <f t="shared" si="96"/>
        <v>131410866</v>
      </c>
      <c r="BH43" s="2">
        <f>MAX(ROUND(((AR43-AO43)*4433)+AP43,0),ROUND(((AR43-AO43)*4433)+Weightings!B43,0))</f>
        <v>148718571</v>
      </c>
      <c r="BI43" s="174">
        <v>0.31</v>
      </c>
      <c r="BJ43" s="2">
        <f t="shared" si="134"/>
        <v>46102757</v>
      </c>
      <c r="BK43" s="173">
        <v>46593194</v>
      </c>
      <c r="BL43" s="2">
        <f t="shared" si="98"/>
        <v>46102757</v>
      </c>
      <c r="BM43" s="3">
        <f t="shared" si="120"/>
        <v>0.31</v>
      </c>
      <c r="BN43" s="1">
        <f t="shared" si="99"/>
        <v>0</v>
      </c>
      <c r="BO43" s="4" t="b">
        <f t="shared" si="100"/>
        <v>0</v>
      </c>
      <c r="BP43" s="5">
        <f t="shared" si="101"/>
        <v>0</v>
      </c>
      <c r="BQ43" s="6">
        <f t="shared" si="102"/>
        <v>0</v>
      </c>
      <c r="BR43" s="4">
        <f t="shared" si="103"/>
        <v>0</v>
      </c>
      <c r="BS43" s="4" t="b">
        <f t="shared" si="104"/>
        <v>0</v>
      </c>
      <c r="BT43" s="4">
        <f t="shared" si="105"/>
        <v>0</v>
      </c>
      <c r="BU43" s="6">
        <f t="shared" si="106"/>
        <v>0</v>
      </c>
      <c r="BV43" s="1">
        <f t="shared" si="107"/>
        <v>0</v>
      </c>
      <c r="BW43" s="1">
        <f t="shared" si="108"/>
        <v>748.8</v>
      </c>
      <c r="BX43" s="116">
        <v>91</v>
      </c>
      <c r="BY43" s="7">
        <f t="shared" si="121"/>
        <v>54.91</v>
      </c>
      <c r="BZ43" s="7">
        <f>IF(ROUND((Weightings!$P$5*BY43^Weightings!$P$6*Weightings!$P$8 ),2)&lt;Weightings!$P$7,Weightings!$P$7,ROUND((Weightings!$P$5*BY43^Weightings!$P$6*Weightings!$P$8 ),2))</f>
        <v>585</v>
      </c>
      <c r="CA43" s="8">
        <f>ROUND(BZ43/Weightings!$M$5,4)</f>
        <v>0.15240000000000001</v>
      </c>
      <c r="CB43" s="1">
        <f t="shared" si="122"/>
        <v>761.5</v>
      </c>
      <c r="CC43" s="173">
        <v>13220222</v>
      </c>
      <c r="CD43" s="173">
        <v>0</v>
      </c>
      <c r="CE43" s="173">
        <v>6326444</v>
      </c>
      <c r="CF43" s="177">
        <v>0.05</v>
      </c>
      <c r="CG43" s="2">
        <f>AS43*Weightings!$M$5*CF43</f>
        <v>6259356</v>
      </c>
      <c r="CH43" s="2">
        <f t="shared" si="123"/>
        <v>6259356</v>
      </c>
      <c r="CI43" s="117">
        <f t="shared" si="111"/>
        <v>6.0999999999999999E-2</v>
      </c>
      <c r="CJ43" s="4">
        <f t="shared" si="112"/>
        <v>234.8</v>
      </c>
      <c r="CK43" s="1">
        <f t="shared" si="124"/>
        <v>0</v>
      </c>
      <c r="CL43" s="1">
        <f t="shared" si="125"/>
        <v>0</v>
      </c>
      <c r="CM43" s="1">
        <f t="shared" si="126"/>
        <v>0</v>
      </c>
      <c r="CN43" s="1">
        <f>IF(ISNA(VLOOKUP($CZ43,'Audit Values'!$A$2:$AE$439,2,FALSE)),'Preliminary SO66'!T40,VLOOKUP($CZ43,'Audit Values'!$A$2:$AE$439,20,FALSE))</f>
        <v>0.5</v>
      </c>
      <c r="CO43" s="1">
        <f t="shared" si="127"/>
        <v>0.5</v>
      </c>
      <c r="CP43" s="179">
        <v>0</v>
      </c>
      <c r="CQ43" s="1">
        <f t="shared" si="128"/>
        <v>0</v>
      </c>
      <c r="CR43" s="2">
        <f>IF(ISNA(VLOOKUP($CZ43,'Audit Values'!$A$2:$AE$439,2,FALSE)),'Preliminary SO66'!V40,VLOOKUP($CZ43,'Audit Values'!$A$2:$AE$439,22,FALSE))</f>
        <v>0</v>
      </c>
      <c r="CS43" s="1">
        <f t="shared" si="129"/>
        <v>0</v>
      </c>
      <c r="CT43" s="2">
        <f>IF(ISNA(VLOOKUP($CZ43,'Audit Values'!$A$2:$AE$439,2,FALSE)),'Preliminary SO66'!W40,VLOOKUP($CZ43,'Audit Values'!$A$2:$AE$439,23,FALSE))</f>
        <v>0</v>
      </c>
      <c r="CU43" s="1">
        <f t="shared" si="136"/>
        <v>0</v>
      </c>
      <c r="CV43" s="1">
        <f t="shared" si="137"/>
        <v>0.5</v>
      </c>
      <c r="CW43" s="176">
        <v>0</v>
      </c>
      <c r="CX43" s="2">
        <f>IF(CW43&gt;0,Weightings!$M$11*AR43,0)</f>
        <v>0</v>
      </c>
      <c r="CY43" s="2">
        <f t="shared" si="130"/>
        <v>0</v>
      </c>
      <c r="CZ43" s="108" t="s">
        <v>335</v>
      </c>
    </row>
    <row r="44" spans="1:104">
      <c r="A44" s="82">
        <v>230</v>
      </c>
      <c r="B44" s="4" t="s">
        <v>24</v>
      </c>
      <c r="C44" s="4" t="s">
        <v>671</v>
      </c>
      <c r="D44" s="1">
        <v>2115.6999999999998</v>
      </c>
      <c r="E44" s="1">
        <v>0</v>
      </c>
      <c r="F44" s="1">
        <f t="shared" si="135"/>
        <v>2115.6999999999998</v>
      </c>
      <c r="G44" s="1">
        <v>2178.9</v>
      </c>
      <c r="H44" s="1">
        <v>0</v>
      </c>
      <c r="I44" s="1">
        <f t="shared" si="116"/>
        <v>2178.9</v>
      </c>
      <c r="J44" s="1">
        <f t="shared" si="79"/>
        <v>2843.2</v>
      </c>
      <c r="K44" s="1">
        <f>IF(ISNA(VLOOKUP($CZ44,'Audit Values'!$A$2:$AE$439,2,FALSE)),'Preliminary SO66'!B41,VLOOKUP($CZ44,'Audit Values'!$A$2:$AE$439,31,FALSE))</f>
        <v>2248.6999999999998</v>
      </c>
      <c r="L44" s="1">
        <f t="shared" si="80"/>
        <v>2248.6999999999998</v>
      </c>
      <c r="M44" s="1">
        <f>IF(ISNA(VLOOKUP($CZ44,'Audit Values'!$A$2:$AE$439,2,FALSE)),'Preliminary SO66'!Z41,VLOOKUP($CZ44,'Audit Values'!$A$2:$AE$439,26,FALSE))</f>
        <v>0</v>
      </c>
      <c r="N44" s="1">
        <f t="shared" si="81"/>
        <v>2248.6999999999998</v>
      </c>
      <c r="O44" s="1">
        <f>IF(ISNA(VLOOKUP($CZ44,'Audit Values'!$A$2:$AE$439,2,FALSE)),'Preliminary SO66'!C41,IF(VLOOKUP($CZ44,'Audit Values'!$A$2:$AE$439,28,FALSE)="",VLOOKUP($CZ44,'Audit Values'!$A$2:$AE$439,3,FALSE),VLOOKUP($CZ44,'Audit Values'!$A$2:$AE$439,28,FALSE)))</f>
        <v>6.5</v>
      </c>
      <c r="P44" s="109">
        <f t="shared" si="82"/>
        <v>2255.1999999999998</v>
      </c>
      <c r="Q44" s="110">
        <f t="shared" si="83"/>
        <v>2849.7</v>
      </c>
      <c r="R44" s="111">
        <f t="shared" si="84"/>
        <v>2849.7</v>
      </c>
      <c r="S44" s="1">
        <f t="shared" si="85"/>
        <v>2255.1999999999998</v>
      </c>
      <c r="T44" s="1">
        <f t="shared" si="133"/>
        <v>594.5</v>
      </c>
      <c r="U44" s="1">
        <f t="shared" si="87"/>
        <v>79</v>
      </c>
      <c r="V44" s="1">
        <f t="shared" si="88"/>
        <v>0</v>
      </c>
      <c r="W44" s="1">
        <f t="shared" si="89"/>
        <v>79</v>
      </c>
      <c r="X44" s="1">
        <f>IF(ISNA(VLOOKUP($CZ44,'Audit Values'!$A$2:$AE$439,2,FALSE)),'Preliminary SO66'!D41,VLOOKUP($CZ44,'Audit Values'!$A$2:$AE$439,4,FALSE))</f>
        <v>431.2</v>
      </c>
      <c r="Y44" s="1">
        <f>ROUND((X44/6)*Weightings!$M$6,1)</f>
        <v>35.9</v>
      </c>
      <c r="Z44" s="1">
        <f>IF(ISNA(VLOOKUP($CZ44,'Audit Values'!$A$2:$AE$439,2,FALSE)),'Preliminary SO66'!F41,VLOOKUP($CZ44,'Audit Values'!$A$2:$AE$439,6,FALSE))</f>
        <v>4.5</v>
      </c>
      <c r="AA44" s="1">
        <f>ROUND((Z44/6)*Weightings!$M$7,1)</f>
        <v>0.3</v>
      </c>
      <c r="AB44" s="2">
        <f>IF(ISNA(VLOOKUP($CZ44,'Audit Values'!$A$2:$AE$439,2,FALSE)),'Preliminary SO66'!H41,VLOOKUP($CZ44,'Audit Values'!$A$2:$AE$439,8,FALSE))</f>
        <v>446</v>
      </c>
      <c r="AC44" s="1">
        <f>ROUND(AB44*Weightings!$M$8,1)</f>
        <v>203.4</v>
      </c>
      <c r="AD44" s="1">
        <f t="shared" si="117"/>
        <v>0</v>
      </c>
      <c r="AE44" s="185">
        <v>190</v>
      </c>
      <c r="AF44" s="1">
        <f>AE44*Weightings!$M$9</f>
        <v>8.8000000000000007</v>
      </c>
      <c r="AG44" s="1">
        <f>IF(ISNA(VLOOKUP($CZ44,'Audit Values'!$A$2:$AE$439,2,FALSE)),'Preliminary SO66'!L41,VLOOKUP($CZ44,'Audit Values'!$A$2:$AE$439,12,FALSE))</f>
        <v>557.20000000000005</v>
      </c>
      <c r="AH44" s="1">
        <f>ROUND(AG44*Weightings!$M$10,1)</f>
        <v>139.30000000000001</v>
      </c>
      <c r="AI44" s="1">
        <f>IF(ISNA(VLOOKUP($CZ44,'Audit Values'!$A$2:$AE$439,2,FALSE)),'Preliminary SO66'!O41,VLOOKUP($CZ44,'Audit Values'!$A$2:$AE$439,15,FALSE))</f>
        <v>1228</v>
      </c>
      <c r="AJ44" s="1">
        <f t="shared" si="90"/>
        <v>187.1</v>
      </c>
      <c r="AK44" s="1">
        <f>CC44/Weightings!$M$5</f>
        <v>102.9</v>
      </c>
      <c r="AL44" s="1">
        <f>CD44/Weightings!$M$5</f>
        <v>0</v>
      </c>
      <c r="AM44" s="1">
        <f>CH44/Weightings!$M$5</f>
        <v>0</v>
      </c>
      <c r="AN44" s="1">
        <f t="shared" si="118"/>
        <v>640.5</v>
      </c>
      <c r="AO44" s="1">
        <f>IF(ISNA(VLOOKUP($CZ44,'Audit Values'!$A$2:$AE$439,2,FALSE)),'Preliminary SO66'!X41,VLOOKUP($CZ44,'Audit Values'!$A$2:$AE$439,24,FALSE))</f>
        <v>0</v>
      </c>
      <c r="AP44" s="188">
        <v>2258465</v>
      </c>
      <c r="AQ44" s="113">
        <f>AP44/Weightings!$M$5</f>
        <v>588.4</v>
      </c>
      <c r="AR44" s="113">
        <f t="shared" si="91"/>
        <v>3652.4</v>
      </c>
      <c r="AS44" s="1">
        <f t="shared" si="92"/>
        <v>4240.8</v>
      </c>
      <c r="AT44" s="1">
        <f t="shared" si="93"/>
        <v>4240.8</v>
      </c>
      <c r="AU44" s="2">
        <f t="shared" si="119"/>
        <v>0</v>
      </c>
      <c r="AV44" s="82">
        <f>IF(ISNA(VLOOKUP($CZ44,'Audit Values'!$A$2:$AC$360,2,FALSE)),"",IF(AND(Weightings!H44&gt;0,VLOOKUP($CZ44,'Audit Values'!$A$2:$AC$360,29,FALSE)&lt;Weightings!H44),Weightings!H44,VLOOKUP($CZ44,'Audit Values'!$A$2:$AC$360,29,FALSE)))</f>
        <v>30</v>
      </c>
      <c r="AW44" s="82" t="str">
        <f>IF(ISNA(VLOOKUP($CZ44,'Audit Values'!$A$2:$AD$360,2,FALSE)),"",VLOOKUP($CZ44,'Audit Values'!$A$2:$AD$360,30,FALSE))</f>
        <v>A</v>
      </c>
      <c r="AX44" s="82" t="str">
        <f>IF(Weightings!G44="","",IF(Weightings!I44="Pending","PX","R"))</f>
        <v/>
      </c>
      <c r="AY44" s="114">
        <f>AR44*Weightings!$M$5+AU44</f>
        <v>14017911</v>
      </c>
      <c r="AZ44" s="2">
        <f>AT44*Weightings!$M$5+AU44</f>
        <v>16276190</v>
      </c>
      <c r="BA44" s="2">
        <f>IF(Weightings!G44&gt;0,Weightings!G44,'Preliminary SO66'!AB41)</f>
        <v>17145497</v>
      </c>
      <c r="BB44" s="2">
        <f t="shared" si="94"/>
        <v>16276190</v>
      </c>
      <c r="BC44" s="124"/>
      <c r="BD44" s="124">
        <f>Weightings!E44</f>
        <v>-2874</v>
      </c>
      <c r="BE44" s="124">
        <f>Weightings!F44</f>
        <v>0</v>
      </c>
      <c r="BF44" s="2">
        <f t="shared" si="95"/>
        <v>-2874</v>
      </c>
      <c r="BG44" s="2">
        <f t="shared" si="96"/>
        <v>16273316</v>
      </c>
      <c r="BH44" s="2">
        <f>MAX(ROUND(((AR44-AO44)*4433)+AP44,0),ROUND(((AR44-AO44)*4433)+Weightings!B44,0))</f>
        <v>18449554</v>
      </c>
      <c r="BI44" s="174">
        <v>0.3</v>
      </c>
      <c r="BJ44" s="2">
        <f t="shared" si="134"/>
        <v>5534866</v>
      </c>
      <c r="BK44" s="173">
        <v>5842801</v>
      </c>
      <c r="BL44" s="2">
        <f t="shared" si="98"/>
        <v>5534866</v>
      </c>
      <c r="BM44" s="3">
        <f t="shared" si="120"/>
        <v>0.3</v>
      </c>
      <c r="BN44" s="1">
        <f t="shared" si="99"/>
        <v>0</v>
      </c>
      <c r="BO44" s="4" t="b">
        <f t="shared" si="100"/>
        <v>0</v>
      </c>
      <c r="BP44" s="5">
        <f t="shared" si="101"/>
        <v>0</v>
      </c>
      <c r="BQ44" s="6">
        <f t="shared" si="102"/>
        <v>0</v>
      </c>
      <c r="BR44" s="4">
        <f t="shared" si="103"/>
        <v>0</v>
      </c>
      <c r="BS44" s="4" t="b">
        <f t="shared" si="104"/>
        <v>0</v>
      </c>
      <c r="BT44" s="4">
        <f t="shared" si="105"/>
        <v>0</v>
      </c>
      <c r="BU44" s="6">
        <f t="shared" si="106"/>
        <v>0</v>
      </c>
      <c r="BV44" s="1">
        <f t="shared" si="107"/>
        <v>0</v>
      </c>
      <c r="BW44" s="1">
        <f t="shared" si="108"/>
        <v>79</v>
      </c>
      <c r="BX44" s="116">
        <v>71</v>
      </c>
      <c r="BY44" s="7">
        <f t="shared" si="121"/>
        <v>17.3</v>
      </c>
      <c r="BZ44" s="7">
        <f>IF(ROUND((Weightings!$P$5*BY44^Weightings!$P$6*Weightings!$P$8 ),2)&lt;Weightings!$P$7,Weightings!$P$7,ROUND((Weightings!$P$5*BY44^Weightings!$P$6*Weightings!$P$8 ),2))</f>
        <v>585</v>
      </c>
      <c r="CA44" s="8">
        <f>ROUND(BZ44/Weightings!$M$5,4)</f>
        <v>0.15240000000000001</v>
      </c>
      <c r="CB44" s="1">
        <f t="shared" si="122"/>
        <v>187.1</v>
      </c>
      <c r="CC44" s="173">
        <v>395000</v>
      </c>
      <c r="CD44" s="173">
        <v>0</v>
      </c>
      <c r="CE44" s="173">
        <v>0</v>
      </c>
      <c r="CF44" s="177">
        <v>2.52E-2</v>
      </c>
      <c r="CG44" s="2">
        <f>AS44*Weightings!$M$5*CF44</f>
        <v>410160</v>
      </c>
      <c r="CH44" s="2">
        <f t="shared" si="123"/>
        <v>0</v>
      </c>
      <c r="CI44" s="117">
        <f t="shared" si="111"/>
        <v>0.19800000000000001</v>
      </c>
      <c r="CJ44" s="4">
        <f t="shared" si="112"/>
        <v>31.8</v>
      </c>
      <c r="CK44" s="1">
        <f t="shared" si="124"/>
        <v>0</v>
      </c>
      <c r="CL44" s="1">
        <f t="shared" si="125"/>
        <v>0</v>
      </c>
      <c r="CM44" s="1">
        <f t="shared" si="126"/>
        <v>0</v>
      </c>
      <c r="CN44" s="1">
        <f>IF(ISNA(VLOOKUP($CZ44,'Audit Values'!$A$2:$AE$439,2,FALSE)),'Preliminary SO66'!T41,VLOOKUP($CZ44,'Audit Values'!$A$2:$AE$439,20,FALSE))</f>
        <v>594.5</v>
      </c>
      <c r="CO44" s="1">
        <f t="shared" si="127"/>
        <v>624.20000000000005</v>
      </c>
      <c r="CP44" s="181">
        <v>65</v>
      </c>
      <c r="CQ44" s="1">
        <f t="shared" si="128"/>
        <v>16.3</v>
      </c>
      <c r="CR44" s="2">
        <f>IF(ISNA(VLOOKUP($CZ44,'Audit Values'!$A$2:$AE$439,2,FALSE)),'Preliminary SO66'!V41,VLOOKUP($CZ44,'Audit Values'!$A$2:$AE$439,22,FALSE))</f>
        <v>0</v>
      </c>
      <c r="CS44" s="1">
        <f t="shared" si="129"/>
        <v>0</v>
      </c>
      <c r="CT44" s="2">
        <f>IF(ISNA(VLOOKUP($CZ44,'Audit Values'!$A$2:$AE$439,2,FALSE)),'Preliminary SO66'!W41,VLOOKUP($CZ44,'Audit Values'!$A$2:$AE$439,23,FALSE))</f>
        <v>0</v>
      </c>
      <c r="CU44" s="1">
        <f t="shared" si="136"/>
        <v>0</v>
      </c>
      <c r="CV44" s="1">
        <f t="shared" si="137"/>
        <v>640.5</v>
      </c>
      <c r="CW44" s="176">
        <v>0</v>
      </c>
      <c r="CX44" s="2">
        <f>IF(CW44&gt;0,Weightings!$M$11*AR44,0)</f>
        <v>0</v>
      </c>
      <c r="CY44" s="2">
        <f t="shared" si="130"/>
        <v>0</v>
      </c>
      <c r="CZ44" s="108" t="s">
        <v>336</v>
      </c>
    </row>
    <row r="45" spans="1:104">
      <c r="A45" s="82">
        <v>231</v>
      </c>
      <c r="B45" s="4" t="s">
        <v>24</v>
      </c>
      <c r="C45" s="4" t="s">
        <v>672</v>
      </c>
      <c r="D45" s="1">
        <v>4940.2</v>
      </c>
      <c r="E45" s="1">
        <v>0</v>
      </c>
      <c r="F45" s="1">
        <f t="shared" si="135"/>
        <v>4940.2</v>
      </c>
      <c r="G45" s="1">
        <v>5060.1000000000004</v>
      </c>
      <c r="H45" s="1">
        <v>0</v>
      </c>
      <c r="I45" s="1">
        <f t="shared" si="116"/>
        <v>5060.1000000000004</v>
      </c>
      <c r="J45" s="1">
        <f t="shared" si="79"/>
        <v>5141.8999999999996</v>
      </c>
      <c r="K45" s="1">
        <f>IF(ISNA(VLOOKUP($CZ45,'Audit Values'!$A$2:$AE$439,2,FALSE)),'Preliminary SO66'!B42,VLOOKUP($CZ45,'Audit Values'!$A$2:$AE$439,31,FALSE))</f>
        <v>5141.8999999999996</v>
      </c>
      <c r="L45" s="1">
        <f t="shared" si="80"/>
        <v>5141.8999999999996</v>
      </c>
      <c r="M45" s="1">
        <f>IF(ISNA(VLOOKUP($CZ45,'Audit Values'!$A$2:$AE$439,2,FALSE)),'Preliminary SO66'!Z42,VLOOKUP($CZ45,'Audit Values'!$A$2:$AE$439,26,FALSE))</f>
        <v>0</v>
      </c>
      <c r="N45" s="1">
        <f t="shared" si="81"/>
        <v>5141.8999999999996</v>
      </c>
      <c r="O45" s="1">
        <f>IF(ISNA(VLOOKUP($CZ45,'Audit Values'!$A$2:$AE$439,2,FALSE)),'Preliminary SO66'!C42,IF(VLOOKUP($CZ45,'Audit Values'!$A$2:$AE$439,28,FALSE)="",VLOOKUP($CZ45,'Audit Values'!$A$2:$AE$439,3,FALSE),VLOOKUP($CZ45,'Audit Values'!$A$2:$AE$439,28,FALSE)))</f>
        <v>9</v>
      </c>
      <c r="P45" s="109">
        <f t="shared" si="82"/>
        <v>5150.8999999999996</v>
      </c>
      <c r="Q45" s="110">
        <f t="shared" si="83"/>
        <v>5150.8999999999996</v>
      </c>
      <c r="R45" s="111">
        <f t="shared" si="84"/>
        <v>5150.8999999999996</v>
      </c>
      <c r="S45" s="1">
        <f t="shared" si="85"/>
        <v>5150.8999999999996</v>
      </c>
      <c r="T45" s="1">
        <f t="shared" si="133"/>
        <v>0</v>
      </c>
      <c r="U45" s="1">
        <f t="shared" si="87"/>
        <v>180.5</v>
      </c>
      <c r="V45" s="1">
        <f t="shared" si="88"/>
        <v>0</v>
      </c>
      <c r="W45" s="1">
        <f t="shared" si="89"/>
        <v>180.5</v>
      </c>
      <c r="X45" s="1">
        <f>IF(ISNA(VLOOKUP($CZ45,'Audit Values'!$A$2:$AE$439,2,FALSE)),'Preliminary SO66'!D42,VLOOKUP($CZ45,'Audit Values'!$A$2:$AE$439,4,FALSE))</f>
        <v>918</v>
      </c>
      <c r="Y45" s="1">
        <f>ROUND((X45/6)*Weightings!$M$6,1)</f>
        <v>76.5</v>
      </c>
      <c r="Z45" s="1">
        <f>IF(ISNA(VLOOKUP($CZ45,'Audit Values'!$A$2:$AE$439,2,FALSE)),'Preliminary SO66'!F42,VLOOKUP($CZ45,'Audit Values'!$A$2:$AE$439,6,FALSE))</f>
        <v>206.5</v>
      </c>
      <c r="AA45" s="1">
        <f>ROUND((Z45/6)*Weightings!$M$7,1)</f>
        <v>13.6</v>
      </c>
      <c r="AB45" s="2">
        <f>IF(ISNA(VLOOKUP($CZ45,'Audit Values'!$A$2:$AE$439,2,FALSE)),'Preliminary SO66'!H42,VLOOKUP($CZ45,'Audit Values'!$A$2:$AE$439,8,FALSE))</f>
        <v>1300</v>
      </c>
      <c r="AC45" s="1">
        <f>ROUND(AB45*Weightings!$M$8,1)</f>
        <v>592.79999999999995</v>
      </c>
      <c r="AD45" s="1">
        <f t="shared" si="117"/>
        <v>0</v>
      </c>
      <c r="AE45" s="185">
        <v>134</v>
      </c>
      <c r="AF45" s="1">
        <f>AE45*Weightings!$M$9</f>
        <v>6.2</v>
      </c>
      <c r="AG45" s="1">
        <f>IF(ISNA(VLOOKUP($CZ45,'Audit Values'!$A$2:$AE$439,2,FALSE)),'Preliminary SO66'!L42,VLOOKUP($CZ45,'Audit Values'!$A$2:$AE$439,12,FALSE))</f>
        <v>321</v>
      </c>
      <c r="AH45" s="1">
        <f>ROUND(AG45*Weightings!$M$10,1)</f>
        <v>80.3</v>
      </c>
      <c r="AI45" s="1">
        <f>IF(ISNA(VLOOKUP($CZ45,'Audit Values'!$A$2:$AE$439,2,FALSE)),'Preliminary SO66'!O42,VLOOKUP($CZ45,'Audit Values'!$A$2:$AE$439,15,FALSE))</f>
        <v>1453</v>
      </c>
      <c r="AJ45" s="1">
        <f t="shared" si="90"/>
        <v>221.4</v>
      </c>
      <c r="AK45" s="1">
        <f>CC45/Weightings!$M$5</f>
        <v>0</v>
      </c>
      <c r="AL45" s="1">
        <f>CD45/Weightings!$M$5</f>
        <v>0</v>
      </c>
      <c r="AM45" s="1">
        <f>CH45/Weightings!$M$5</f>
        <v>0</v>
      </c>
      <c r="AN45" s="1">
        <f t="shared" si="118"/>
        <v>0</v>
      </c>
      <c r="AO45" s="1">
        <f>IF(ISNA(VLOOKUP($CZ45,'Audit Values'!$A$2:$AE$439,2,FALSE)),'Preliminary SO66'!X42,VLOOKUP($CZ45,'Audit Values'!$A$2:$AE$439,24,FALSE))</f>
        <v>0</v>
      </c>
      <c r="AP45" s="188">
        <v>4818137</v>
      </c>
      <c r="AQ45" s="113">
        <f>AP45/Weightings!$M$5</f>
        <v>1255.4000000000001</v>
      </c>
      <c r="AR45" s="113">
        <f t="shared" si="91"/>
        <v>6322.2</v>
      </c>
      <c r="AS45" s="1">
        <f t="shared" si="92"/>
        <v>7577.6</v>
      </c>
      <c r="AT45" s="1">
        <f t="shared" si="93"/>
        <v>7577.6</v>
      </c>
      <c r="AU45" s="2">
        <f t="shared" si="119"/>
        <v>10000</v>
      </c>
      <c r="AV45" s="82">
        <f>IF(ISNA(VLOOKUP($CZ45,'Audit Values'!$A$2:$AC$360,2,FALSE)),"",IF(AND(Weightings!H45&gt;0,VLOOKUP($CZ45,'Audit Values'!$A$2:$AC$360,29,FALSE)&lt;Weightings!H45),Weightings!H45,VLOOKUP($CZ45,'Audit Values'!$A$2:$AC$360,29,FALSE)))</f>
        <v>21</v>
      </c>
      <c r="AW45" s="82" t="str">
        <f>IF(ISNA(VLOOKUP($CZ45,'Audit Values'!$A$2:$AD$360,2,FALSE)),"",VLOOKUP($CZ45,'Audit Values'!$A$2:$AD$360,30,FALSE))</f>
        <v>A</v>
      </c>
      <c r="AX45" s="82" t="str">
        <f>IF(Weightings!G45="","",IF(Weightings!I45="Pending","PX","R"))</f>
        <v/>
      </c>
      <c r="AY45" s="114">
        <f>AR45*Weightings!$M$5+AU45</f>
        <v>24274604</v>
      </c>
      <c r="AZ45" s="2">
        <f>AT45*Weightings!$M$5+AU45</f>
        <v>29092829</v>
      </c>
      <c r="BA45" s="2">
        <f>IF(Weightings!G45&gt;0,Weightings!G45,'Preliminary SO66'!AB42)</f>
        <v>29987467</v>
      </c>
      <c r="BB45" s="2">
        <f t="shared" si="94"/>
        <v>29092829</v>
      </c>
      <c r="BC45" s="124"/>
      <c r="BD45" s="124">
        <f>Weightings!E45</f>
        <v>0</v>
      </c>
      <c r="BE45" s="124">
        <f>Weightings!F45</f>
        <v>0</v>
      </c>
      <c r="BF45" s="2">
        <f t="shared" si="95"/>
        <v>0</v>
      </c>
      <c r="BG45" s="2">
        <f t="shared" si="96"/>
        <v>29092829</v>
      </c>
      <c r="BH45" s="2">
        <f>MAX(ROUND(((AR45-AO45)*4433)+AP45,0),ROUND(((AR45-AO45)*4433)+Weightings!B45,0))</f>
        <v>32844450</v>
      </c>
      <c r="BI45" s="174">
        <v>0.3</v>
      </c>
      <c r="BJ45" s="2">
        <f t="shared" si="134"/>
        <v>9853335</v>
      </c>
      <c r="BK45" s="173">
        <v>10157192</v>
      </c>
      <c r="BL45" s="2">
        <f t="shared" si="98"/>
        <v>9853335</v>
      </c>
      <c r="BM45" s="3">
        <f t="shared" si="120"/>
        <v>0.3</v>
      </c>
      <c r="BN45" s="1">
        <f t="shared" si="99"/>
        <v>0</v>
      </c>
      <c r="BO45" s="4" t="b">
        <f t="shared" si="100"/>
        <v>0</v>
      </c>
      <c r="BP45" s="5">
        <f t="shared" si="101"/>
        <v>0</v>
      </c>
      <c r="BQ45" s="6">
        <f t="shared" si="102"/>
        <v>0</v>
      </c>
      <c r="BR45" s="4">
        <f t="shared" si="103"/>
        <v>0</v>
      </c>
      <c r="BS45" s="4" t="b">
        <f t="shared" si="104"/>
        <v>0</v>
      </c>
      <c r="BT45" s="4">
        <f t="shared" si="105"/>
        <v>0</v>
      </c>
      <c r="BU45" s="6">
        <f t="shared" si="106"/>
        <v>0</v>
      </c>
      <c r="BV45" s="1">
        <f t="shared" si="107"/>
        <v>0</v>
      </c>
      <c r="BW45" s="1">
        <f t="shared" si="108"/>
        <v>180.5</v>
      </c>
      <c r="BX45" s="116">
        <v>103</v>
      </c>
      <c r="BY45" s="7">
        <f t="shared" si="121"/>
        <v>14.11</v>
      </c>
      <c r="BZ45" s="7">
        <f>IF(ROUND((Weightings!$P$5*BY45^Weightings!$P$6*Weightings!$P$8 ),2)&lt;Weightings!$P$7,Weightings!$P$7,ROUND((Weightings!$P$5*BY45^Weightings!$P$6*Weightings!$P$8 ),2))</f>
        <v>585</v>
      </c>
      <c r="CA45" s="8">
        <f>ROUND(BZ45/Weightings!$M$5,4)</f>
        <v>0.15240000000000001</v>
      </c>
      <c r="CB45" s="1">
        <f t="shared" si="122"/>
        <v>221.4</v>
      </c>
      <c r="CC45" s="173">
        <v>0</v>
      </c>
      <c r="CD45" s="173">
        <v>0</v>
      </c>
      <c r="CE45" s="173">
        <v>0</v>
      </c>
      <c r="CF45" s="177">
        <v>2.0000000000000001E-4</v>
      </c>
      <c r="CG45" s="2">
        <f>AS45*Weightings!$M$5*CF45</f>
        <v>5817</v>
      </c>
      <c r="CH45" s="2">
        <f t="shared" si="123"/>
        <v>0</v>
      </c>
      <c r="CI45" s="117">
        <f t="shared" si="111"/>
        <v>0.252</v>
      </c>
      <c r="CJ45" s="4">
        <f t="shared" si="112"/>
        <v>50</v>
      </c>
      <c r="CK45" s="1">
        <f t="shared" si="124"/>
        <v>0</v>
      </c>
      <c r="CL45" s="1">
        <f t="shared" si="125"/>
        <v>0</v>
      </c>
      <c r="CM45" s="1">
        <f t="shared" si="126"/>
        <v>0</v>
      </c>
      <c r="CN45" s="1">
        <f>IF(ISNA(VLOOKUP($CZ45,'Audit Values'!$A$2:$AE$439,2,FALSE)),'Preliminary SO66'!T42,VLOOKUP($CZ45,'Audit Values'!$A$2:$AE$439,20,FALSE))</f>
        <v>0</v>
      </c>
      <c r="CO45" s="1">
        <f t="shared" si="127"/>
        <v>0</v>
      </c>
      <c r="CP45" s="183">
        <v>0</v>
      </c>
      <c r="CQ45" s="1">
        <f t="shared" si="128"/>
        <v>0</v>
      </c>
      <c r="CR45" s="2">
        <f>IF(ISNA(VLOOKUP($CZ45,'Audit Values'!$A$2:$AE$439,2,FALSE)),'Preliminary SO66'!V42,VLOOKUP($CZ45,'Audit Values'!$A$2:$AE$439,22,FALSE))</f>
        <v>0</v>
      </c>
      <c r="CS45" s="1">
        <f t="shared" si="129"/>
        <v>0</v>
      </c>
      <c r="CT45" s="2">
        <f>IF(ISNA(VLOOKUP($CZ45,'Audit Values'!$A$2:$AE$439,2,FALSE)),'Preliminary SO66'!W42,VLOOKUP($CZ45,'Audit Values'!$A$2:$AE$439,23,FALSE))</f>
        <v>0</v>
      </c>
      <c r="CU45" s="1">
        <f t="shared" si="136"/>
        <v>0</v>
      </c>
      <c r="CV45" s="1">
        <f t="shared" si="137"/>
        <v>0</v>
      </c>
      <c r="CW45" s="176">
        <v>10000</v>
      </c>
      <c r="CX45" s="2">
        <f>IF(CW45&gt;0,Weightings!$M$11*AR45,0)</f>
        <v>1580550</v>
      </c>
      <c r="CY45" s="2">
        <f t="shared" si="130"/>
        <v>10000</v>
      </c>
      <c r="CZ45" s="108" t="s">
        <v>337</v>
      </c>
    </row>
    <row r="46" spans="1:104">
      <c r="A46" s="82">
        <v>232</v>
      </c>
      <c r="B46" s="4" t="s">
        <v>24</v>
      </c>
      <c r="C46" s="4" t="s">
        <v>673</v>
      </c>
      <c r="D46" s="1">
        <v>6526.4</v>
      </c>
      <c r="E46" s="1">
        <v>0</v>
      </c>
      <c r="F46" s="1">
        <f t="shared" si="135"/>
        <v>6526.4</v>
      </c>
      <c r="G46" s="1">
        <v>6623.1</v>
      </c>
      <c r="H46" s="1">
        <v>0</v>
      </c>
      <c r="I46" s="1">
        <f t="shared" si="116"/>
        <v>6623.1</v>
      </c>
      <c r="J46" s="1">
        <f t="shared" si="79"/>
        <v>6695.3</v>
      </c>
      <c r="K46" s="1">
        <f>IF(ISNA(VLOOKUP($CZ46,'Audit Values'!$A$2:$AE$439,2,FALSE)),'Preliminary SO66'!B43,VLOOKUP($CZ46,'Audit Values'!$A$2:$AE$439,31,FALSE))</f>
        <v>6695.3</v>
      </c>
      <c r="L46" s="1">
        <f t="shared" si="80"/>
        <v>6695.3</v>
      </c>
      <c r="M46" s="1">
        <f>IF(ISNA(VLOOKUP($CZ46,'Audit Values'!$A$2:$AE$439,2,FALSE)),'Preliminary SO66'!Z43,VLOOKUP($CZ46,'Audit Values'!$A$2:$AE$439,26,FALSE))</f>
        <v>0</v>
      </c>
      <c r="N46" s="1">
        <f t="shared" si="81"/>
        <v>6695.3</v>
      </c>
      <c r="O46" s="1">
        <f>IF(ISNA(VLOOKUP($CZ46,'Audit Values'!$A$2:$AE$439,2,FALSE)),'Preliminary SO66'!C43,IF(VLOOKUP($CZ46,'Audit Values'!$A$2:$AE$439,28,FALSE)="",VLOOKUP($CZ46,'Audit Values'!$A$2:$AE$439,3,FALSE),VLOOKUP($CZ46,'Audit Values'!$A$2:$AE$439,28,FALSE)))</f>
        <v>11.5</v>
      </c>
      <c r="P46" s="109">
        <f t="shared" si="82"/>
        <v>6706.8</v>
      </c>
      <c r="Q46" s="110">
        <f t="shared" si="83"/>
        <v>6706.8</v>
      </c>
      <c r="R46" s="111">
        <f t="shared" si="84"/>
        <v>6706.8</v>
      </c>
      <c r="S46" s="1">
        <f t="shared" si="85"/>
        <v>6706.8</v>
      </c>
      <c r="T46" s="1">
        <f t="shared" si="133"/>
        <v>0</v>
      </c>
      <c r="U46" s="1">
        <f t="shared" si="87"/>
        <v>235</v>
      </c>
      <c r="V46" s="1">
        <f t="shared" si="88"/>
        <v>0</v>
      </c>
      <c r="W46" s="1">
        <f t="shared" si="89"/>
        <v>235</v>
      </c>
      <c r="X46" s="1">
        <f>IF(ISNA(VLOOKUP($CZ46,'Audit Values'!$A$2:$AE$439,2,FALSE)),'Preliminary SO66'!D43,VLOOKUP($CZ46,'Audit Values'!$A$2:$AE$439,4,FALSE))</f>
        <v>1706.2</v>
      </c>
      <c r="Y46" s="1">
        <f>ROUND((X46/6)*Weightings!$M$6,1)</f>
        <v>142.19999999999999</v>
      </c>
      <c r="Z46" s="1">
        <f>IF(ISNA(VLOOKUP($CZ46,'Audit Values'!$A$2:$AE$439,2,FALSE)),'Preliminary SO66'!F43,VLOOKUP($CZ46,'Audit Values'!$A$2:$AE$439,6,FALSE))</f>
        <v>933</v>
      </c>
      <c r="AA46" s="1">
        <f>ROUND((Z46/6)*Weightings!$M$7,1)</f>
        <v>61.4</v>
      </c>
      <c r="AB46" s="2">
        <f>IF(ISNA(VLOOKUP($CZ46,'Audit Values'!$A$2:$AE$439,2,FALSE)),'Preliminary SO66'!H43,VLOOKUP($CZ46,'Audit Values'!$A$2:$AE$439,8,FALSE))</f>
        <v>767</v>
      </c>
      <c r="AC46" s="1">
        <f>ROUND(AB46*Weightings!$M$8,1)</f>
        <v>349.8</v>
      </c>
      <c r="AD46" s="1">
        <f t="shared" si="117"/>
        <v>0</v>
      </c>
      <c r="AE46" s="185">
        <v>292</v>
      </c>
      <c r="AF46" s="1">
        <f>AE46*Weightings!$M$9</f>
        <v>13.6</v>
      </c>
      <c r="AG46" s="1">
        <f>IF(ISNA(VLOOKUP($CZ46,'Audit Values'!$A$2:$AE$439,2,FALSE)),'Preliminary SO66'!L43,VLOOKUP($CZ46,'Audit Values'!$A$2:$AE$439,12,FALSE))</f>
        <v>106.2</v>
      </c>
      <c r="AH46" s="1">
        <f>ROUND(AG46*Weightings!$M$10,1)</f>
        <v>26.6</v>
      </c>
      <c r="AI46" s="1">
        <f>IF(ISNA(VLOOKUP($CZ46,'Audit Values'!$A$2:$AE$439,2,FALSE)),'Preliminary SO66'!O43,VLOOKUP($CZ46,'Audit Values'!$A$2:$AE$439,15,FALSE))</f>
        <v>1802</v>
      </c>
      <c r="AJ46" s="1">
        <f t="shared" si="90"/>
        <v>274.60000000000002</v>
      </c>
      <c r="AK46" s="1">
        <f>CC46/Weightings!$M$5</f>
        <v>73.3</v>
      </c>
      <c r="AL46" s="1">
        <f>CD46/Weightings!$M$5</f>
        <v>0</v>
      </c>
      <c r="AM46" s="1">
        <f>CH46/Weightings!$M$5</f>
        <v>451.1</v>
      </c>
      <c r="AN46" s="1">
        <f t="shared" si="118"/>
        <v>0</v>
      </c>
      <c r="AO46" s="1">
        <f>IF(ISNA(VLOOKUP($CZ46,'Audit Values'!$A$2:$AE$439,2,FALSE)),'Preliminary SO66'!X43,VLOOKUP($CZ46,'Audit Values'!$A$2:$AE$439,24,FALSE))</f>
        <v>0</v>
      </c>
      <c r="AP46" s="188">
        <v>4367524</v>
      </c>
      <c r="AQ46" s="113">
        <f>AP46/Weightings!$M$5</f>
        <v>1138</v>
      </c>
      <c r="AR46" s="113">
        <f t="shared" si="91"/>
        <v>8334.4</v>
      </c>
      <c r="AS46" s="1">
        <f t="shared" si="92"/>
        <v>9021.2999999999993</v>
      </c>
      <c r="AT46" s="1">
        <f t="shared" si="93"/>
        <v>9472.4</v>
      </c>
      <c r="AU46" s="2">
        <f t="shared" si="119"/>
        <v>0</v>
      </c>
      <c r="AV46" s="82">
        <f>IF(ISNA(VLOOKUP($CZ46,'Audit Values'!$A$2:$AC$360,2,FALSE)),"",IF(AND(Weightings!H46&gt;0,VLOOKUP($CZ46,'Audit Values'!$A$2:$AC$360,29,FALSE)&lt;Weightings!H46),Weightings!H46,VLOOKUP($CZ46,'Audit Values'!$A$2:$AC$360,29,FALSE)))</f>
        <v>15</v>
      </c>
      <c r="AW46" s="82" t="str">
        <f>IF(ISNA(VLOOKUP($CZ46,'Audit Values'!$A$2:$AD$360,2,FALSE)),"",VLOOKUP($CZ46,'Audit Values'!$A$2:$AD$360,30,FALSE))</f>
        <v>A</v>
      </c>
      <c r="AX46" s="82" t="str">
        <f>IF(Weightings!G46="","",IF(Weightings!I46="Pending","PX","R"))</f>
        <v/>
      </c>
      <c r="AY46" s="114">
        <f>AR46*Weightings!$M$5+AU46</f>
        <v>31987427</v>
      </c>
      <c r="AZ46" s="2">
        <f>AT46*Weightings!$M$5+AU46</f>
        <v>36355071</v>
      </c>
      <c r="BA46" s="2">
        <f>IF(Weightings!G46&gt;0,Weightings!G46,'Preliminary SO66'!AB43)</f>
        <v>37028640</v>
      </c>
      <c r="BB46" s="2">
        <f t="shared" si="94"/>
        <v>36355071</v>
      </c>
      <c r="BC46" s="124"/>
      <c r="BD46" s="124">
        <f>Weightings!E46</f>
        <v>0</v>
      </c>
      <c r="BE46" s="124">
        <f>Weightings!F46</f>
        <v>0</v>
      </c>
      <c r="BF46" s="2">
        <f t="shared" si="95"/>
        <v>0</v>
      </c>
      <c r="BG46" s="2">
        <f t="shared" si="96"/>
        <v>36355071</v>
      </c>
      <c r="BH46" s="2">
        <f>MAX(ROUND(((AR46-AO46)*4433)+AP46,0),ROUND(((AR46-AO46)*4433)+Weightings!B46,0))</f>
        <v>41384049</v>
      </c>
      <c r="BI46" s="174">
        <v>0.31</v>
      </c>
      <c r="BJ46" s="2">
        <f t="shared" si="134"/>
        <v>12829055</v>
      </c>
      <c r="BK46" s="173">
        <v>13026049</v>
      </c>
      <c r="BL46" s="2">
        <f t="shared" si="98"/>
        <v>12829055</v>
      </c>
      <c r="BM46" s="3">
        <f t="shared" si="120"/>
        <v>0.31</v>
      </c>
      <c r="BN46" s="1">
        <f t="shared" si="99"/>
        <v>0</v>
      </c>
      <c r="BO46" s="4" t="b">
        <f t="shared" si="100"/>
        <v>0</v>
      </c>
      <c r="BP46" s="5">
        <f t="shared" si="101"/>
        <v>0</v>
      </c>
      <c r="BQ46" s="6">
        <f t="shared" si="102"/>
        <v>0</v>
      </c>
      <c r="BR46" s="4">
        <f t="shared" si="103"/>
        <v>0</v>
      </c>
      <c r="BS46" s="4" t="b">
        <f t="shared" si="104"/>
        <v>0</v>
      </c>
      <c r="BT46" s="4">
        <f t="shared" si="105"/>
        <v>0</v>
      </c>
      <c r="BU46" s="6">
        <f t="shared" si="106"/>
        <v>0</v>
      </c>
      <c r="BV46" s="1">
        <f t="shared" si="107"/>
        <v>0</v>
      </c>
      <c r="BW46" s="1">
        <f t="shared" si="108"/>
        <v>235</v>
      </c>
      <c r="BX46" s="116">
        <v>100</v>
      </c>
      <c r="BY46" s="7">
        <f t="shared" si="121"/>
        <v>18.02</v>
      </c>
      <c r="BZ46" s="7">
        <f>IF(ROUND((Weightings!$P$5*BY46^Weightings!$P$6*Weightings!$P$8 ),2)&lt;Weightings!$P$7,Weightings!$P$7,ROUND((Weightings!$P$5*BY46^Weightings!$P$6*Weightings!$P$8 ),2))</f>
        <v>585</v>
      </c>
      <c r="CA46" s="8">
        <f>ROUND(BZ46/Weightings!$M$5,4)</f>
        <v>0.15240000000000001</v>
      </c>
      <c r="CB46" s="1">
        <f t="shared" si="122"/>
        <v>274.60000000000002</v>
      </c>
      <c r="CC46" s="173">
        <v>281445</v>
      </c>
      <c r="CD46" s="173">
        <v>0</v>
      </c>
      <c r="CE46" s="173">
        <v>1763273</v>
      </c>
      <c r="CF46" s="177">
        <v>0.05</v>
      </c>
      <c r="CG46" s="2">
        <f>AS46*Weightings!$M$5*CF46</f>
        <v>1731187</v>
      </c>
      <c r="CH46" s="2">
        <f t="shared" si="123"/>
        <v>1731187</v>
      </c>
      <c r="CI46" s="117">
        <f t="shared" si="111"/>
        <v>0.114</v>
      </c>
      <c r="CJ46" s="4">
        <f t="shared" si="112"/>
        <v>67.099999999999994</v>
      </c>
      <c r="CK46" s="1">
        <f t="shared" si="124"/>
        <v>0</v>
      </c>
      <c r="CL46" s="1">
        <f t="shared" si="125"/>
        <v>0</v>
      </c>
      <c r="CM46" s="1">
        <f t="shared" si="126"/>
        <v>0</v>
      </c>
      <c r="CN46" s="1">
        <f>IF(ISNA(VLOOKUP($CZ46,'Audit Values'!$A$2:$AE$439,2,FALSE)),'Preliminary SO66'!T43,VLOOKUP($CZ46,'Audit Values'!$A$2:$AE$439,20,FALSE))</f>
        <v>0</v>
      </c>
      <c r="CO46" s="1">
        <f t="shared" si="127"/>
        <v>0</v>
      </c>
      <c r="CP46" s="183">
        <v>0</v>
      </c>
      <c r="CQ46" s="1">
        <f t="shared" si="128"/>
        <v>0</v>
      </c>
      <c r="CR46" s="2">
        <f>IF(ISNA(VLOOKUP($CZ46,'Audit Values'!$A$2:$AE$439,2,FALSE)),'Preliminary SO66'!V43,VLOOKUP($CZ46,'Audit Values'!$A$2:$AE$439,22,FALSE))</f>
        <v>0</v>
      </c>
      <c r="CS46" s="1">
        <f t="shared" si="129"/>
        <v>0</v>
      </c>
      <c r="CT46" s="2">
        <f>IF(ISNA(VLOOKUP($CZ46,'Audit Values'!$A$2:$AE$439,2,FALSE)),'Preliminary SO66'!W43,VLOOKUP($CZ46,'Audit Values'!$A$2:$AE$439,23,FALSE))</f>
        <v>0</v>
      </c>
      <c r="CU46" s="1">
        <f t="shared" si="136"/>
        <v>0</v>
      </c>
      <c r="CV46" s="1">
        <f t="shared" si="137"/>
        <v>0</v>
      </c>
      <c r="CW46" s="176">
        <v>0</v>
      </c>
      <c r="CX46" s="2">
        <f>IF(CW46&gt;0,Weightings!$M$11*AR46,0)</f>
        <v>0</v>
      </c>
      <c r="CY46" s="2">
        <f t="shared" si="130"/>
        <v>0</v>
      </c>
      <c r="CZ46" s="108" t="s">
        <v>338</v>
      </c>
    </row>
    <row r="47" spans="1:104">
      <c r="A47" s="82">
        <v>233</v>
      </c>
      <c r="B47" s="4" t="s">
        <v>24</v>
      </c>
      <c r="C47" s="4" t="s">
        <v>674</v>
      </c>
      <c r="D47" s="1">
        <v>26342.799999999999</v>
      </c>
      <c r="E47" s="1">
        <v>0</v>
      </c>
      <c r="F47" s="1">
        <f t="shared" si="135"/>
        <v>26342.799999999999</v>
      </c>
      <c r="G47" s="1">
        <v>26895.8</v>
      </c>
      <c r="H47" s="1">
        <v>0</v>
      </c>
      <c r="I47" s="1">
        <f t="shared" si="116"/>
        <v>26895.8</v>
      </c>
      <c r="J47" s="1">
        <f t="shared" si="79"/>
        <v>27383.1</v>
      </c>
      <c r="K47" s="1">
        <f>IF(ISNA(VLOOKUP($CZ47,'Audit Values'!$A$2:$AE$439,2,FALSE)),'Preliminary SO66'!B44,VLOOKUP($CZ47,'Audit Values'!$A$2:$AE$439,31,FALSE))</f>
        <v>27383.1</v>
      </c>
      <c r="L47" s="1">
        <f t="shared" si="80"/>
        <v>27383.1</v>
      </c>
      <c r="M47" s="1">
        <f>IF(ISNA(VLOOKUP($CZ47,'Audit Values'!$A$2:$AE$439,2,FALSE)),'Preliminary SO66'!Z44,VLOOKUP($CZ47,'Audit Values'!$A$2:$AE$439,26,FALSE))</f>
        <v>0</v>
      </c>
      <c r="N47" s="1">
        <f t="shared" si="81"/>
        <v>27383.1</v>
      </c>
      <c r="O47" s="1">
        <f>IF(ISNA(VLOOKUP($CZ47,'Audit Values'!$A$2:$AE$439,2,FALSE)),'Preliminary SO66'!C44,IF(VLOOKUP($CZ47,'Audit Values'!$A$2:$AE$439,28,FALSE)="",VLOOKUP($CZ47,'Audit Values'!$A$2:$AE$439,3,FALSE),VLOOKUP($CZ47,'Audit Values'!$A$2:$AE$439,28,FALSE)))</f>
        <v>30</v>
      </c>
      <c r="P47" s="109">
        <f t="shared" si="82"/>
        <v>27413.1</v>
      </c>
      <c r="Q47" s="110">
        <f t="shared" si="83"/>
        <v>27413.1</v>
      </c>
      <c r="R47" s="111">
        <f t="shared" si="84"/>
        <v>27413.1</v>
      </c>
      <c r="S47" s="1">
        <f t="shared" si="85"/>
        <v>27413.1</v>
      </c>
      <c r="T47" s="1">
        <f t="shared" si="133"/>
        <v>0</v>
      </c>
      <c r="U47" s="1">
        <f t="shared" si="87"/>
        <v>960.6</v>
      </c>
      <c r="V47" s="1">
        <f t="shared" si="88"/>
        <v>0</v>
      </c>
      <c r="W47" s="1">
        <f t="shared" si="89"/>
        <v>960.6</v>
      </c>
      <c r="X47" s="1">
        <f>IF(ISNA(VLOOKUP($CZ47,'Audit Values'!$A$2:$AE$439,2,FALSE)),'Preliminary SO66'!D44,VLOOKUP($CZ47,'Audit Values'!$A$2:$AE$439,4,FALSE))</f>
        <v>4613.7</v>
      </c>
      <c r="Y47" s="1">
        <f>ROUND((X47/6)*Weightings!$M$6,1)</f>
        <v>384.5</v>
      </c>
      <c r="Z47" s="1">
        <f>IF(ISNA(VLOOKUP($CZ47,'Audit Values'!$A$2:$AE$439,2,FALSE)),'Preliminary SO66'!F44,VLOOKUP($CZ47,'Audit Values'!$A$2:$AE$439,6,FALSE))</f>
        <v>5778</v>
      </c>
      <c r="AA47" s="1">
        <f>ROUND((Z47/6)*Weightings!$M$7,1)</f>
        <v>380.4</v>
      </c>
      <c r="AB47" s="2">
        <f>IF(ISNA(VLOOKUP($CZ47,'Audit Values'!$A$2:$AE$439,2,FALSE)),'Preliminary SO66'!H44,VLOOKUP($CZ47,'Audit Values'!$A$2:$AE$439,8,FALSE))</f>
        <v>6214</v>
      </c>
      <c r="AC47" s="1">
        <f>ROUND(AB47*Weightings!$M$8,1)</f>
        <v>2833.6</v>
      </c>
      <c r="AD47" s="1">
        <f t="shared" si="117"/>
        <v>0</v>
      </c>
      <c r="AE47" s="185">
        <v>1088</v>
      </c>
      <c r="AF47" s="1">
        <f>AE47*Weightings!$M$9</f>
        <v>50.6</v>
      </c>
      <c r="AG47" s="1">
        <f>IF(ISNA(VLOOKUP($CZ47,'Audit Values'!$A$2:$AE$439,2,FALSE)),'Preliminary SO66'!L44,VLOOKUP($CZ47,'Audit Values'!$A$2:$AE$439,12,FALSE))</f>
        <v>73.7</v>
      </c>
      <c r="AH47" s="1">
        <f>ROUND(AG47*Weightings!$M$10,1)</f>
        <v>18.399999999999999</v>
      </c>
      <c r="AI47" s="1">
        <f>IF(ISNA(VLOOKUP($CZ47,'Audit Values'!$A$2:$AE$439,2,FALSE)),'Preliminary SO66'!O44,VLOOKUP($CZ47,'Audit Values'!$A$2:$AE$439,15,FALSE))</f>
        <v>4936</v>
      </c>
      <c r="AJ47" s="1">
        <f t="shared" si="90"/>
        <v>752.2</v>
      </c>
      <c r="AK47" s="1">
        <f>CC47/Weightings!$M$5</f>
        <v>2472.8000000000002</v>
      </c>
      <c r="AL47" s="1">
        <f>CD47/Weightings!$M$5</f>
        <v>0</v>
      </c>
      <c r="AM47" s="1">
        <f>CH47/Weightings!$M$5</f>
        <v>1459.8</v>
      </c>
      <c r="AN47" s="1">
        <f t="shared" si="118"/>
        <v>0</v>
      </c>
      <c r="AO47" s="1">
        <f>IF(ISNA(VLOOKUP($CZ47,'Audit Values'!$A$2:$AE$439,2,FALSE)),'Preliminary SO66'!X44,VLOOKUP($CZ47,'Audit Values'!$A$2:$AE$439,24,FALSE))</f>
        <v>1</v>
      </c>
      <c r="AP47" s="188">
        <v>24774443</v>
      </c>
      <c r="AQ47" s="113">
        <f>AP47/Weightings!$M$5</f>
        <v>6455</v>
      </c>
      <c r="AR47" s="113">
        <f t="shared" si="91"/>
        <v>36727</v>
      </c>
      <c r="AS47" s="1">
        <f t="shared" si="92"/>
        <v>41722.199999999997</v>
      </c>
      <c r="AT47" s="1">
        <f t="shared" si="93"/>
        <v>43182</v>
      </c>
      <c r="AU47" s="2">
        <f t="shared" si="119"/>
        <v>0</v>
      </c>
      <c r="AV47" s="82">
        <f>IF(ISNA(VLOOKUP($CZ47,'Audit Values'!$A$2:$AC$360,2,FALSE)),"",IF(AND(Weightings!H47&gt;0,VLOOKUP($CZ47,'Audit Values'!$A$2:$AC$360,29,FALSE)&lt;Weightings!H47),Weightings!H47,VLOOKUP($CZ47,'Audit Values'!$A$2:$AC$360,29,FALSE)))</f>
        <v>26</v>
      </c>
      <c r="AW47" s="82" t="str">
        <f>IF(ISNA(VLOOKUP($CZ47,'Audit Values'!$A$2:$AD$360,2,FALSE)),"",VLOOKUP($CZ47,'Audit Values'!$A$2:$AD$360,30,FALSE))</f>
        <v>A</v>
      </c>
      <c r="AX47" s="82" t="str">
        <f>IF(Weightings!G47="","",IF(Weightings!I47="Pending","PX","R"))</f>
        <v>R</v>
      </c>
      <c r="AY47" s="114">
        <f>AR47*Weightings!$M$5+AU47</f>
        <v>140958226</v>
      </c>
      <c r="AZ47" s="2">
        <f>AT47*Weightings!$M$5+AU47</f>
        <v>165732516</v>
      </c>
      <c r="BA47" s="2">
        <f>IF(Weightings!G47&gt;0,Weightings!G47,'Preliminary SO66'!AB44)</f>
        <v>165917124</v>
      </c>
      <c r="BB47" s="2">
        <f t="shared" si="94"/>
        <v>165732516</v>
      </c>
      <c r="BC47" s="124"/>
      <c r="BD47" s="124">
        <f>Weightings!E47</f>
        <v>-1150</v>
      </c>
      <c r="BE47" s="124">
        <f>Weightings!F47</f>
        <v>0</v>
      </c>
      <c r="BF47" s="2">
        <f t="shared" si="95"/>
        <v>-1150</v>
      </c>
      <c r="BG47" s="2">
        <f t="shared" si="96"/>
        <v>165731366</v>
      </c>
      <c r="BH47" s="2">
        <f>MAX(ROUND(((AR47-AO47)*4433)+AP47,0),ROUND(((AR47-AO47)*4433)+Weightings!B47,0))</f>
        <v>190328530</v>
      </c>
      <c r="BI47" s="174">
        <v>0.31</v>
      </c>
      <c r="BJ47" s="2">
        <f t="shared" si="134"/>
        <v>59001844</v>
      </c>
      <c r="BK47" s="173">
        <v>59193000</v>
      </c>
      <c r="BL47" s="2">
        <f t="shared" si="98"/>
        <v>59001844</v>
      </c>
      <c r="BM47" s="3">
        <f t="shared" si="120"/>
        <v>0.31</v>
      </c>
      <c r="BN47" s="1">
        <f t="shared" si="99"/>
        <v>0</v>
      </c>
      <c r="BO47" s="4" t="b">
        <f t="shared" si="100"/>
        <v>0</v>
      </c>
      <c r="BP47" s="5">
        <f t="shared" si="101"/>
        <v>0</v>
      </c>
      <c r="BQ47" s="6">
        <f t="shared" si="102"/>
        <v>0</v>
      </c>
      <c r="BR47" s="4">
        <f t="shared" si="103"/>
        <v>0</v>
      </c>
      <c r="BS47" s="4" t="b">
        <f t="shared" si="104"/>
        <v>0</v>
      </c>
      <c r="BT47" s="4">
        <f t="shared" si="105"/>
        <v>0</v>
      </c>
      <c r="BU47" s="6">
        <f t="shared" si="106"/>
        <v>0</v>
      </c>
      <c r="BV47" s="1">
        <f t="shared" si="107"/>
        <v>0</v>
      </c>
      <c r="BW47" s="1">
        <f t="shared" si="108"/>
        <v>960.6</v>
      </c>
      <c r="BX47" s="116">
        <v>75.3</v>
      </c>
      <c r="BY47" s="7">
        <f t="shared" si="121"/>
        <v>65.55</v>
      </c>
      <c r="BZ47" s="7">
        <f>IF(ROUND((Weightings!$P$5*BY47^Weightings!$P$6*Weightings!$P$8 ),2)&lt;Weightings!$P$7,Weightings!$P$7,ROUND((Weightings!$P$5*BY47^Weightings!$P$6*Weightings!$P$8 ),2))</f>
        <v>585</v>
      </c>
      <c r="CA47" s="8">
        <f>ROUND(BZ47/Weightings!$M$5,4)</f>
        <v>0.15240000000000001</v>
      </c>
      <c r="CB47" s="1">
        <f t="shared" si="122"/>
        <v>752.2</v>
      </c>
      <c r="CC47" s="173">
        <v>9490631</v>
      </c>
      <c r="CD47" s="173">
        <v>0</v>
      </c>
      <c r="CE47" s="173">
        <v>5602558</v>
      </c>
      <c r="CF47" s="177">
        <v>3.5099999999999999E-2</v>
      </c>
      <c r="CG47" s="2">
        <f>AS47*Weightings!$M$5*CF47</f>
        <v>5620556</v>
      </c>
      <c r="CH47" s="2">
        <f t="shared" si="123"/>
        <v>5602558</v>
      </c>
      <c r="CI47" s="117">
        <f t="shared" si="111"/>
        <v>0.22700000000000001</v>
      </c>
      <c r="CJ47" s="4">
        <f t="shared" si="112"/>
        <v>364.1</v>
      </c>
      <c r="CK47" s="1">
        <f t="shared" si="124"/>
        <v>0</v>
      </c>
      <c r="CL47" s="1">
        <f t="shared" si="125"/>
        <v>0</v>
      </c>
      <c r="CM47" s="1">
        <f t="shared" si="126"/>
        <v>0</v>
      </c>
      <c r="CN47" s="1">
        <f>IF(ISNA(VLOOKUP($CZ47,'Audit Values'!$A$2:$AE$439,2,FALSE)),'Preliminary SO66'!T44,VLOOKUP($CZ47,'Audit Values'!$A$2:$AE$439,20,FALSE))</f>
        <v>0</v>
      </c>
      <c r="CO47" s="1">
        <f t="shared" si="127"/>
        <v>0</v>
      </c>
      <c r="CP47" s="183">
        <v>0</v>
      </c>
      <c r="CQ47" s="1">
        <f t="shared" si="128"/>
        <v>0</v>
      </c>
      <c r="CR47" s="2">
        <f>IF(ISNA(VLOOKUP($CZ47,'Audit Values'!$A$2:$AE$439,2,FALSE)),'Preliminary SO66'!V44,VLOOKUP($CZ47,'Audit Values'!$A$2:$AE$439,22,FALSE))</f>
        <v>0</v>
      </c>
      <c r="CS47" s="1">
        <f t="shared" si="129"/>
        <v>0</v>
      </c>
      <c r="CT47" s="2">
        <f>IF(ISNA(VLOOKUP($CZ47,'Audit Values'!$A$2:$AE$439,2,FALSE)),'Preliminary SO66'!W44,VLOOKUP($CZ47,'Audit Values'!$A$2:$AE$439,23,FALSE))</f>
        <v>0</v>
      </c>
      <c r="CU47" s="1">
        <f t="shared" si="136"/>
        <v>0</v>
      </c>
      <c r="CV47" s="1">
        <f t="shared" si="137"/>
        <v>0</v>
      </c>
      <c r="CW47" s="176">
        <v>0</v>
      </c>
      <c r="CX47" s="2">
        <f>IF(CW47&gt;0,Weightings!$M$11*AR47,0)</f>
        <v>0</v>
      </c>
      <c r="CY47" s="2">
        <f t="shared" si="130"/>
        <v>0</v>
      </c>
      <c r="CZ47" s="108" t="s">
        <v>339</v>
      </c>
    </row>
    <row r="48" spans="1:104">
      <c r="A48" s="82">
        <v>234</v>
      </c>
      <c r="B48" s="4" t="s">
        <v>25</v>
      </c>
      <c r="C48" s="4" t="s">
        <v>675</v>
      </c>
      <c r="D48" s="1">
        <v>1812.1</v>
      </c>
      <c r="E48" s="1">
        <v>0</v>
      </c>
      <c r="F48" s="1">
        <f t="shared" si="135"/>
        <v>1812.1</v>
      </c>
      <c r="G48" s="1">
        <v>1791</v>
      </c>
      <c r="H48" s="1">
        <v>0</v>
      </c>
      <c r="I48" s="1">
        <f t="shared" si="116"/>
        <v>1791</v>
      </c>
      <c r="J48" s="1">
        <f t="shared" si="79"/>
        <v>1816.2</v>
      </c>
      <c r="K48" s="1">
        <f>IF(ISNA(VLOOKUP($CZ48,'Audit Values'!$A$2:$AE$439,2,FALSE)),'Preliminary SO66'!B45,VLOOKUP($CZ48,'Audit Values'!$A$2:$AE$439,31,FALSE))</f>
        <v>1816.2</v>
      </c>
      <c r="L48" s="1">
        <f t="shared" si="80"/>
        <v>1816.2</v>
      </c>
      <c r="M48" s="1">
        <f>IF(ISNA(VLOOKUP($CZ48,'Audit Values'!$A$2:$AE$439,2,FALSE)),'Preliminary SO66'!Z45,VLOOKUP($CZ48,'Audit Values'!$A$2:$AE$439,26,FALSE))</f>
        <v>0</v>
      </c>
      <c r="N48" s="1">
        <f t="shared" si="81"/>
        <v>1816.2</v>
      </c>
      <c r="O48" s="1">
        <f>IF(ISNA(VLOOKUP($CZ48,'Audit Values'!$A$2:$AE$439,2,FALSE)),'Preliminary SO66'!C45,IF(VLOOKUP($CZ48,'Audit Values'!$A$2:$AE$439,28,FALSE)="",VLOOKUP($CZ48,'Audit Values'!$A$2:$AE$439,3,FALSE),VLOOKUP($CZ48,'Audit Values'!$A$2:$AE$439,28,FALSE)))</f>
        <v>18</v>
      </c>
      <c r="P48" s="109">
        <f t="shared" si="82"/>
        <v>1834.2</v>
      </c>
      <c r="Q48" s="110">
        <f t="shared" si="83"/>
        <v>1834.2</v>
      </c>
      <c r="R48" s="111">
        <f t="shared" si="84"/>
        <v>1834.2</v>
      </c>
      <c r="S48" s="1">
        <f t="shared" si="85"/>
        <v>1834.2</v>
      </c>
      <c r="T48" s="1">
        <f t="shared" si="133"/>
        <v>0</v>
      </c>
      <c r="U48" s="1">
        <f t="shared" si="87"/>
        <v>64.3</v>
      </c>
      <c r="V48" s="1">
        <f t="shared" si="88"/>
        <v>0</v>
      </c>
      <c r="W48" s="1">
        <f t="shared" si="89"/>
        <v>64.3</v>
      </c>
      <c r="X48" s="1">
        <f>IF(ISNA(VLOOKUP($CZ48,'Audit Values'!$A$2:$AE$439,2,FALSE)),'Preliminary SO66'!D45,VLOOKUP($CZ48,'Audit Values'!$A$2:$AE$439,4,FALSE))</f>
        <v>283.5</v>
      </c>
      <c r="Y48" s="1">
        <f>ROUND((X48/6)*Weightings!$M$6,1)</f>
        <v>23.6</v>
      </c>
      <c r="Z48" s="1">
        <f>IF(ISNA(VLOOKUP($CZ48,'Audit Values'!$A$2:$AE$439,2,FALSE)),'Preliminary SO66'!F45,VLOOKUP($CZ48,'Audit Values'!$A$2:$AE$439,6,FALSE))</f>
        <v>24.2</v>
      </c>
      <c r="AA48" s="1">
        <f>ROUND((Z48/6)*Weightings!$M$7,1)</f>
        <v>1.6</v>
      </c>
      <c r="AB48" s="2">
        <f>IF(ISNA(VLOOKUP($CZ48,'Audit Values'!$A$2:$AE$439,2,FALSE)),'Preliminary SO66'!H45,VLOOKUP($CZ48,'Audit Values'!$A$2:$AE$439,8,FALSE))</f>
        <v>1045</v>
      </c>
      <c r="AC48" s="1">
        <f>ROUND(AB48*Weightings!$M$8,1)</f>
        <v>476.5</v>
      </c>
      <c r="AD48" s="1">
        <f t="shared" si="117"/>
        <v>109.7</v>
      </c>
      <c r="AE48" s="185">
        <v>129</v>
      </c>
      <c r="AF48" s="1">
        <f>AE48*Weightings!$M$9</f>
        <v>6</v>
      </c>
      <c r="AG48" s="1">
        <f>IF(ISNA(VLOOKUP($CZ48,'Audit Values'!$A$2:$AE$439,2,FALSE)),'Preliminary SO66'!L45,VLOOKUP($CZ48,'Audit Values'!$A$2:$AE$439,12,FALSE))</f>
        <v>0</v>
      </c>
      <c r="AH48" s="1">
        <f>ROUND(AG48*Weightings!$M$10,1)</f>
        <v>0</v>
      </c>
      <c r="AI48" s="1">
        <f>IF(ISNA(VLOOKUP($CZ48,'Audit Values'!$A$2:$AE$439,2,FALSE)),'Preliminary SO66'!O45,VLOOKUP($CZ48,'Audit Values'!$A$2:$AE$439,15,FALSE))</f>
        <v>574</v>
      </c>
      <c r="AJ48" s="1">
        <f t="shared" si="90"/>
        <v>129.30000000000001</v>
      </c>
      <c r="AK48" s="1">
        <f>CC48/Weightings!$M$5</f>
        <v>0</v>
      </c>
      <c r="AL48" s="1">
        <f>CD48/Weightings!$M$5</f>
        <v>0</v>
      </c>
      <c r="AM48" s="1">
        <f>CH48/Weightings!$M$5</f>
        <v>0</v>
      </c>
      <c r="AN48" s="1">
        <f t="shared" si="118"/>
        <v>0</v>
      </c>
      <c r="AO48" s="1">
        <f>IF(ISNA(VLOOKUP($CZ48,'Audit Values'!$A$2:$AE$439,2,FALSE)),'Preliminary SO66'!X45,VLOOKUP($CZ48,'Audit Values'!$A$2:$AE$439,24,FALSE))</f>
        <v>0</v>
      </c>
      <c r="AP48" s="188">
        <v>1026040</v>
      </c>
      <c r="AQ48" s="113">
        <f>AP48/Weightings!$M$5</f>
        <v>267.3</v>
      </c>
      <c r="AR48" s="113">
        <f t="shared" si="91"/>
        <v>2645.2</v>
      </c>
      <c r="AS48" s="1">
        <f t="shared" si="92"/>
        <v>2912.5</v>
      </c>
      <c r="AT48" s="1">
        <f t="shared" si="93"/>
        <v>2912.5</v>
      </c>
      <c r="AU48" s="2">
        <f t="shared" si="119"/>
        <v>0</v>
      </c>
      <c r="AV48" s="82">
        <f>IF(ISNA(VLOOKUP($CZ48,'Audit Values'!$A$2:$AC$360,2,FALSE)),"",IF(AND(Weightings!H48&gt;0,VLOOKUP($CZ48,'Audit Values'!$A$2:$AC$360,29,FALSE)&lt;Weightings!H48),Weightings!H48,VLOOKUP($CZ48,'Audit Values'!$A$2:$AC$360,29,FALSE)))</f>
        <v>11</v>
      </c>
      <c r="AW48" s="82" t="str">
        <f>IF(ISNA(VLOOKUP($CZ48,'Audit Values'!$A$2:$AD$360,2,FALSE)),"",VLOOKUP($CZ48,'Audit Values'!$A$2:$AD$360,30,FALSE))</f>
        <v>A</v>
      </c>
      <c r="AX48" s="82" t="str">
        <f>IF(Weightings!G48="","",IF(Weightings!I48="Pending","PX","R"))</f>
        <v/>
      </c>
      <c r="AY48" s="114">
        <f>AR48*Weightings!$M$5+AU48</f>
        <v>10152278</v>
      </c>
      <c r="AZ48" s="2">
        <f>AT48*Weightings!$M$5+AU48</f>
        <v>11178175</v>
      </c>
      <c r="BA48" s="2">
        <f>IF(Weightings!G48&gt;0,Weightings!G48,'Preliminary SO66'!AB45)</f>
        <v>11230968</v>
      </c>
      <c r="BB48" s="2">
        <f t="shared" si="94"/>
        <v>11178175</v>
      </c>
      <c r="BC48" s="124"/>
      <c r="BD48" s="124">
        <f>Weightings!E48</f>
        <v>-6957</v>
      </c>
      <c r="BE48" s="124">
        <f>Weightings!F48</f>
        <v>0</v>
      </c>
      <c r="BF48" s="2">
        <f t="shared" si="95"/>
        <v>-6957</v>
      </c>
      <c r="BG48" s="2">
        <f t="shared" si="96"/>
        <v>11171218</v>
      </c>
      <c r="BH48" s="2">
        <f>MAX(ROUND(((AR48-AO48)*4433)+AP48,0),ROUND(((AR48-AO48)*4433)+Weightings!B48,0))</f>
        <v>12876101</v>
      </c>
      <c r="BI48" s="174">
        <v>0.3</v>
      </c>
      <c r="BJ48" s="2">
        <f t="shared" si="134"/>
        <v>3862830</v>
      </c>
      <c r="BK48" s="173">
        <v>2995000</v>
      </c>
      <c r="BL48" s="2">
        <f t="shared" si="98"/>
        <v>2995000</v>
      </c>
      <c r="BM48" s="3">
        <f t="shared" si="120"/>
        <v>0.2326</v>
      </c>
      <c r="BN48" s="1">
        <f t="shared" si="99"/>
        <v>0</v>
      </c>
      <c r="BO48" s="4" t="b">
        <f t="shared" si="100"/>
        <v>0</v>
      </c>
      <c r="BP48" s="5">
        <f t="shared" si="101"/>
        <v>0</v>
      </c>
      <c r="BQ48" s="6">
        <f t="shared" si="102"/>
        <v>0</v>
      </c>
      <c r="BR48" s="4">
        <f t="shared" si="103"/>
        <v>0</v>
      </c>
      <c r="BS48" s="4" t="b">
        <f t="shared" si="104"/>
        <v>0</v>
      </c>
      <c r="BT48" s="4">
        <f t="shared" si="105"/>
        <v>0</v>
      </c>
      <c r="BU48" s="6">
        <f t="shared" si="106"/>
        <v>0</v>
      </c>
      <c r="BV48" s="1">
        <f t="shared" si="107"/>
        <v>0</v>
      </c>
      <c r="BW48" s="1">
        <f t="shared" si="108"/>
        <v>64.3</v>
      </c>
      <c r="BX48" s="116">
        <v>300</v>
      </c>
      <c r="BY48" s="7">
        <f t="shared" si="121"/>
        <v>1.91</v>
      </c>
      <c r="BZ48" s="7">
        <f>IF(ROUND((Weightings!$P$5*BY48^Weightings!$P$6*Weightings!$P$8 ),2)&lt;Weightings!$P$7,Weightings!$P$7,ROUND((Weightings!$P$5*BY48^Weightings!$P$6*Weightings!$P$8 ),2))</f>
        <v>864.71</v>
      </c>
      <c r="CA48" s="8">
        <f>ROUND(BZ48/Weightings!$M$5,4)</f>
        <v>0.2253</v>
      </c>
      <c r="CB48" s="1">
        <f t="shared" si="122"/>
        <v>129.30000000000001</v>
      </c>
      <c r="CC48" s="173">
        <v>0</v>
      </c>
      <c r="CD48" s="173">
        <v>0</v>
      </c>
      <c r="CE48" s="173">
        <v>0</v>
      </c>
      <c r="CF48" s="177">
        <v>0</v>
      </c>
      <c r="CG48" s="2">
        <f>AS48*Weightings!$M$5*CF48</f>
        <v>0</v>
      </c>
      <c r="CH48" s="2">
        <f t="shared" si="123"/>
        <v>0</v>
      </c>
      <c r="CI48" s="117">
        <f t="shared" si="111"/>
        <v>0.56999999999999995</v>
      </c>
      <c r="CJ48" s="4">
        <f t="shared" si="112"/>
        <v>6.1</v>
      </c>
      <c r="CK48" s="1">
        <f t="shared" si="124"/>
        <v>109.7</v>
      </c>
      <c r="CL48" s="1">
        <f t="shared" si="125"/>
        <v>0</v>
      </c>
      <c r="CM48" s="1">
        <f t="shared" si="126"/>
        <v>0</v>
      </c>
      <c r="CN48" s="1">
        <f>IF(ISNA(VLOOKUP($CZ48,'Audit Values'!$A$2:$AE$439,2,FALSE)),'Preliminary SO66'!T45,VLOOKUP($CZ48,'Audit Values'!$A$2:$AE$439,20,FALSE))</f>
        <v>0</v>
      </c>
      <c r="CO48" s="1">
        <f t="shared" si="127"/>
        <v>0</v>
      </c>
      <c r="CP48" s="183">
        <v>0</v>
      </c>
      <c r="CQ48" s="1">
        <f t="shared" si="128"/>
        <v>0</v>
      </c>
      <c r="CR48" s="2">
        <f>IF(ISNA(VLOOKUP($CZ48,'Audit Values'!$A$2:$AE$439,2,FALSE)),'Preliminary SO66'!V45,VLOOKUP($CZ48,'Audit Values'!$A$2:$AE$439,22,FALSE))</f>
        <v>0</v>
      </c>
      <c r="CS48" s="1">
        <f t="shared" si="129"/>
        <v>0</v>
      </c>
      <c r="CT48" s="2">
        <f>IF(ISNA(VLOOKUP($CZ48,'Audit Values'!$A$2:$AE$439,2,FALSE)),'Preliminary SO66'!W45,VLOOKUP($CZ48,'Audit Values'!$A$2:$AE$439,23,FALSE))</f>
        <v>0</v>
      </c>
      <c r="CU48" s="1">
        <f t="shared" si="136"/>
        <v>0</v>
      </c>
      <c r="CV48" s="1">
        <f t="shared" si="137"/>
        <v>0</v>
      </c>
      <c r="CW48" s="176">
        <v>0</v>
      </c>
      <c r="CX48" s="2">
        <f>IF(CW48&gt;0,Weightings!$M$11*AR48,0)</f>
        <v>0</v>
      </c>
      <c r="CY48" s="2">
        <f t="shared" si="130"/>
        <v>0</v>
      </c>
      <c r="CZ48" s="108" t="s">
        <v>340</v>
      </c>
    </row>
    <row r="49" spans="1:104">
      <c r="A49" s="82">
        <v>235</v>
      </c>
      <c r="B49" s="4" t="s">
        <v>25</v>
      </c>
      <c r="C49" s="4" t="s">
        <v>676</v>
      </c>
      <c r="D49" s="1">
        <v>442.5</v>
      </c>
      <c r="E49" s="1">
        <v>0</v>
      </c>
      <c r="F49" s="1">
        <f t="shared" si="135"/>
        <v>442.5</v>
      </c>
      <c r="G49" s="1">
        <v>422.5</v>
      </c>
      <c r="H49" s="1">
        <v>0</v>
      </c>
      <c r="I49" s="1">
        <f t="shared" si="116"/>
        <v>422.5</v>
      </c>
      <c r="J49" s="1">
        <f t="shared" si="79"/>
        <v>429</v>
      </c>
      <c r="K49" s="1">
        <f>IF(ISNA(VLOOKUP($CZ49,'Audit Values'!$A$2:$AE$439,2,FALSE)),'Preliminary SO66'!B46,VLOOKUP($CZ49,'Audit Values'!$A$2:$AE$439,31,FALSE))</f>
        <v>429</v>
      </c>
      <c r="L49" s="1">
        <f t="shared" si="80"/>
        <v>431.3</v>
      </c>
      <c r="M49" s="1">
        <f>IF(ISNA(VLOOKUP($CZ49,'Audit Values'!$A$2:$AE$439,2,FALSE)),'Preliminary SO66'!Z46,VLOOKUP($CZ49,'Audit Values'!$A$2:$AE$439,26,FALSE))</f>
        <v>0</v>
      </c>
      <c r="N49" s="1">
        <f t="shared" si="81"/>
        <v>431.3</v>
      </c>
      <c r="O49" s="1">
        <f>IF(ISNA(VLOOKUP($CZ49,'Audit Values'!$A$2:$AE$439,2,FALSE)),'Preliminary SO66'!C46,IF(VLOOKUP($CZ49,'Audit Values'!$A$2:$AE$439,28,FALSE)="",VLOOKUP($CZ49,'Audit Values'!$A$2:$AE$439,3,FALSE),VLOOKUP($CZ49,'Audit Values'!$A$2:$AE$439,28,FALSE)))</f>
        <v>4.5</v>
      </c>
      <c r="P49" s="109">
        <f t="shared" si="82"/>
        <v>433.5</v>
      </c>
      <c r="Q49" s="110">
        <f t="shared" si="83"/>
        <v>433.5</v>
      </c>
      <c r="R49" s="111">
        <f t="shared" si="84"/>
        <v>433.5</v>
      </c>
      <c r="S49" s="1">
        <f t="shared" si="85"/>
        <v>435.8</v>
      </c>
      <c r="T49" s="1">
        <f t="shared" si="133"/>
        <v>0</v>
      </c>
      <c r="U49" s="1">
        <f t="shared" si="87"/>
        <v>190.9</v>
      </c>
      <c r="V49" s="1">
        <f t="shared" si="88"/>
        <v>190.9</v>
      </c>
      <c r="W49" s="1">
        <f t="shared" si="89"/>
        <v>0</v>
      </c>
      <c r="X49" s="1">
        <f>IF(ISNA(VLOOKUP($CZ49,'Audit Values'!$A$2:$AE$439,2,FALSE)),'Preliminary SO66'!D46,VLOOKUP($CZ49,'Audit Values'!$A$2:$AE$439,4,FALSE))</f>
        <v>126.4</v>
      </c>
      <c r="Y49" s="1">
        <f>ROUND((X49/6)*Weightings!$M$6,1)</f>
        <v>10.5</v>
      </c>
      <c r="Z49" s="1">
        <f>IF(ISNA(VLOOKUP($CZ49,'Audit Values'!$A$2:$AE$439,2,FALSE)),'Preliminary SO66'!F46,VLOOKUP($CZ49,'Audit Values'!$A$2:$AE$439,6,FALSE))</f>
        <v>0</v>
      </c>
      <c r="AA49" s="1">
        <f>ROUND((Z49/6)*Weightings!$M$7,1)</f>
        <v>0</v>
      </c>
      <c r="AB49" s="2">
        <f>IF(ISNA(VLOOKUP($CZ49,'Audit Values'!$A$2:$AE$439,2,FALSE)),'Preliminary SO66'!H46,VLOOKUP($CZ49,'Audit Values'!$A$2:$AE$439,8,FALSE))</f>
        <v>245</v>
      </c>
      <c r="AC49" s="1">
        <f>ROUND(AB49*Weightings!$M$8,1)</f>
        <v>111.7</v>
      </c>
      <c r="AD49" s="1">
        <f t="shared" si="117"/>
        <v>25.7</v>
      </c>
      <c r="AE49" s="185">
        <v>14</v>
      </c>
      <c r="AF49" s="1">
        <f>AE49*Weightings!$M$9</f>
        <v>0.7</v>
      </c>
      <c r="AG49" s="1">
        <f>IF(ISNA(VLOOKUP($CZ49,'Audit Values'!$A$2:$AE$439,2,FALSE)),'Preliminary SO66'!L46,VLOOKUP($CZ49,'Audit Values'!$A$2:$AE$439,12,FALSE))</f>
        <v>0</v>
      </c>
      <c r="AH49" s="1">
        <f>ROUND(AG49*Weightings!$M$10,1)</f>
        <v>0</v>
      </c>
      <c r="AI49" s="1">
        <f>IF(ISNA(VLOOKUP($CZ49,'Audit Values'!$A$2:$AE$439,2,FALSE)),'Preliminary SO66'!O46,VLOOKUP($CZ49,'Audit Values'!$A$2:$AE$439,15,FALSE))</f>
        <v>289</v>
      </c>
      <c r="AJ49" s="1">
        <f t="shared" si="90"/>
        <v>76.5</v>
      </c>
      <c r="AK49" s="1">
        <f>CC49/Weightings!$M$5</f>
        <v>0</v>
      </c>
      <c r="AL49" s="1">
        <f>CD49/Weightings!$M$5</f>
        <v>0</v>
      </c>
      <c r="AM49" s="1">
        <f>CH49/Weightings!$M$5</f>
        <v>0</v>
      </c>
      <c r="AN49" s="1">
        <f t="shared" si="118"/>
        <v>0</v>
      </c>
      <c r="AO49" s="1">
        <f>IF(ISNA(VLOOKUP($CZ49,'Audit Values'!$A$2:$AE$439,2,FALSE)),'Preliminary SO66'!X46,VLOOKUP($CZ49,'Audit Values'!$A$2:$AE$439,24,FALSE))</f>
        <v>0</v>
      </c>
      <c r="AP49" s="188">
        <v>366636</v>
      </c>
      <c r="AQ49" s="113">
        <f>AP49/Weightings!$M$5</f>
        <v>95.5</v>
      </c>
      <c r="AR49" s="113">
        <f t="shared" si="91"/>
        <v>851.8</v>
      </c>
      <c r="AS49" s="1">
        <f t="shared" si="92"/>
        <v>947.3</v>
      </c>
      <c r="AT49" s="1">
        <f t="shared" si="93"/>
        <v>947.3</v>
      </c>
      <c r="AU49" s="2">
        <f t="shared" si="119"/>
        <v>0</v>
      </c>
      <c r="AV49" s="82">
        <f>IF(ISNA(VLOOKUP($CZ49,'Audit Values'!$A$2:$AC$360,2,FALSE)),"",IF(AND(Weightings!H49&gt;0,VLOOKUP($CZ49,'Audit Values'!$A$2:$AC$360,29,FALSE)&lt;Weightings!H49),Weightings!H49,VLOOKUP($CZ49,'Audit Values'!$A$2:$AC$360,29,FALSE)))</f>
        <v>1</v>
      </c>
      <c r="AW49" s="82" t="str">
        <f>IF(ISNA(VLOOKUP($CZ49,'Audit Values'!$A$2:$AD$360,2,FALSE)),"",VLOOKUP($CZ49,'Audit Values'!$A$2:$AD$360,30,FALSE))</f>
        <v>A</v>
      </c>
      <c r="AX49" s="82" t="str">
        <f>IF(Weightings!G49="","",IF(Weightings!I49="Pending","PX","R"))</f>
        <v/>
      </c>
      <c r="AY49" s="114">
        <f>AR49*Weightings!$M$5+AU49</f>
        <v>3269208</v>
      </c>
      <c r="AZ49" s="2">
        <f>AT49*Weightings!$M$5+AU49</f>
        <v>3635737</v>
      </c>
      <c r="BA49" s="2">
        <f>IF(Weightings!G49&gt;0,Weightings!G49,'Preliminary SO66'!AB46)</f>
        <v>3690237</v>
      </c>
      <c r="BB49" s="2">
        <f t="shared" si="94"/>
        <v>3635737</v>
      </c>
      <c r="BC49" s="124"/>
      <c r="BD49" s="124">
        <f>Weightings!E49</f>
        <v>0</v>
      </c>
      <c r="BE49" s="124">
        <f>Weightings!F49</f>
        <v>0</v>
      </c>
      <c r="BF49" s="2">
        <f t="shared" si="95"/>
        <v>0</v>
      </c>
      <c r="BG49" s="2">
        <f t="shared" si="96"/>
        <v>3635737</v>
      </c>
      <c r="BH49" s="2">
        <f>MAX(ROUND(((AR49-AO49)*4433)+AP49,0),ROUND(((AR49-AO49)*4433)+Weightings!B49,0))</f>
        <v>4147698</v>
      </c>
      <c r="BI49" s="174">
        <v>0.3</v>
      </c>
      <c r="BJ49" s="2">
        <f t="shared" si="134"/>
        <v>1244309</v>
      </c>
      <c r="BK49" s="173">
        <v>899900</v>
      </c>
      <c r="BL49" s="2">
        <f t="shared" si="98"/>
        <v>899900</v>
      </c>
      <c r="BM49" s="3">
        <f t="shared" si="120"/>
        <v>0.217</v>
      </c>
      <c r="BN49" s="1">
        <f t="shared" si="99"/>
        <v>0</v>
      </c>
      <c r="BO49" s="4" t="b">
        <f t="shared" si="100"/>
        <v>0</v>
      </c>
      <c r="BP49" s="5">
        <f t="shared" si="101"/>
        <v>0</v>
      </c>
      <c r="BQ49" s="6">
        <f t="shared" si="102"/>
        <v>0</v>
      </c>
      <c r="BR49" s="4">
        <f t="shared" si="103"/>
        <v>0</v>
      </c>
      <c r="BS49" s="4" t="b">
        <f t="shared" si="104"/>
        <v>1</v>
      </c>
      <c r="BT49" s="4">
        <f t="shared" si="105"/>
        <v>168.05250000000001</v>
      </c>
      <c r="BU49" s="6">
        <f t="shared" si="106"/>
        <v>0.43804799999999999</v>
      </c>
      <c r="BV49" s="1">
        <f t="shared" si="107"/>
        <v>190.9</v>
      </c>
      <c r="BW49" s="1">
        <f t="shared" si="108"/>
        <v>0</v>
      </c>
      <c r="BX49" s="116">
        <v>309</v>
      </c>
      <c r="BY49" s="7">
        <f t="shared" si="121"/>
        <v>0.94</v>
      </c>
      <c r="BZ49" s="7">
        <f>IF(ROUND((Weightings!$P$5*BY49^Weightings!$P$6*Weightings!$P$8 ),2)&lt;Weightings!$P$7,Weightings!$P$7,ROUND((Weightings!$P$5*BY49^Weightings!$P$6*Weightings!$P$8 ),2))</f>
        <v>1016.49</v>
      </c>
      <c r="CA49" s="8">
        <f>ROUND(BZ49/Weightings!$M$5,4)</f>
        <v>0.26479999999999998</v>
      </c>
      <c r="CB49" s="1">
        <f t="shared" si="122"/>
        <v>76.5</v>
      </c>
      <c r="CC49" s="173">
        <v>0</v>
      </c>
      <c r="CD49" s="173">
        <v>0</v>
      </c>
      <c r="CE49" s="173">
        <v>0</v>
      </c>
      <c r="CF49" s="177">
        <v>0</v>
      </c>
      <c r="CG49" s="2">
        <f>AS49*Weightings!$M$5*CF49</f>
        <v>0</v>
      </c>
      <c r="CH49" s="2">
        <f t="shared" si="123"/>
        <v>0</v>
      </c>
      <c r="CI49" s="117">
        <f t="shared" si="111"/>
        <v>0.56200000000000006</v>
      </c>
      <c r="CJ49" s="4">
        <f t="shared" si="112"/>
        <v>1.4</v>
      </c>
      <c r="CK49" s="1">
        <f t="shared" si="124"/>
        <v>25.7</v>
      </c>
      <c r="CL49" s="1">
        <f t="shared" si="125"/>
        <v>0</v>
      </c>
      <c r="CM49" s="1">
        <f t="shared" si="126"/>
        <v>0</v>
      </c>
      <c r="CN49" s="1">
        <f>IF(ISNA(VLOOKUP($CZ49,'Audit Values'!$A$2:$AE$439,2,FALSE)),'Preliminary SO66'!T46,VLOOKUP($CZ49,'Audit Values'!$A$2:$AE$439,20,FALSE))</f>
        <v>0</v>
      </c>
      <c r="CO49" s="1">
        <f t="shared" si="127"/>
        <v>0</v>
      </c>
      <c r="CP49" s="183">
        <v>0</v>
      </c>
      <c r="CQ49" s="1">
        <f t="shared" si="128"/>
        <v>0</v>
      </c>
      <c r="CR49" s="2">
        <f>IF(ISNA(VLOOKUP($CZ49,'Audit Values'!$A$2:$AE$439,2,FALSE)),'Preliminary SO66'!V46,VLOOKUP($CZ49,'Audit Values'!$A$2:$AE$439,22,FALSE))</f>
        <v>0</v>
      </c>
      <c r="CS49" s="1">
        <f t="shared" si="129"/>
        <v>0</v>
      </c>
      <c r="CT49" s="2">
        <f>IF(ISNA(VLOOKUP($CZ49,'Audit Values'!$A$2:$AE$439,2,FALSE)),'Preliminary SO66'!W46,VLOOKUP($CZ49,'Audit Values'!$A$2:$AE$439,23,FALSE))</f>
        <v>0</v>
      </c>
      <c r="CU49" s="1">
        <f t="shared" si="136"/>
        <v>0</v>
      </c>
      <c r="CV49" s="1">
        <f t="shared" si="137"/>
        <v>0</v>
      </c>
      <c r="CW49" s="176">
        <v>0</v>
      </c>
      <c r="CX49" s="2">
        <f>IF(CW49&gt;0,Weightings!$M$11*AR49,0)</f>
        <v>0</v>
      </c>
      <c r="CY49" s="2">
        <f t="shared" si="130"/>
        <v>0</v>
      </c>
      <c r="CZ49" s="108" t="s">
        <v>341</v>
      </c>
    </row>
    <row r="50" spans="1:104">
      <c r="A50" s="82">
        <v>237</v>
      </c>
      <c r="B50" s="4" t="s">
        <v>26</v>
      </c>
      <c r="C50" s="4" t="s">
        <v>677</v>
      </c>
      <c r="D50" s="1">
        <v>402.5</v>
      </c>
      <c r="E50" s="1">
        <v>0</v>
      </c>
      <c r="F50" s="1">
        <f t="shared" si="135"/>
        <v>402.5</v>
      </c>
      <c r="G50" s="1">
        <v>391.5</v>
      </c>
      <c r="H50" s="1">
        <v>0</v>
      </c>
      <c r="I50" s="1">
        <f t="shared" si="116"/>
        <v>391.5</v>
      </c>
      <c r="J50" s="1">
        <f t="shared" si="79"/>
        <v>376.8</v>
      </c>
      <c r="K50" s="1">
        <f>IF(ISNA(VLOOKUP($CZ50,'Audit Values'!$A$2:$AE$439,2,FALSE)),'Preliminary SO66'!B47,VLOOKUP($CZ50,'Audit Values'!$A$2:$AE$439,31,FALSE))</f>
        <v>376.8</v>
      </c>
      <c r="L50" s="1">
        <f t="shared" si="80"/>
        <v>391.5</v>
      </c>
      <c r="M50" s="1">
        <f>IF(ISNA(VLOOKUP($CZ50,'Audit Values'!$A$2:$AE$439,2,FALSE)),'Preliminary SO66'!Z47,VLOOKUP($CZ50,'Audit Values'!$A$2:$AE$439,26,FALSE))</f>
        <v>0</v>
      </c>
      <c r="N50" s="1">
        <f t="shared" si="81"/>
        <v>391.5</v>
      </c>
      <c r="O50" s="1">
        <f>IF(ISNA(VLOOKUP($CZ50,'Audit Values'!$A$2:$AE$439,2,FALSE)),'Preliminary SO66'!C47,IF(VLOOKUP($CZ50,'Audit Values'!$A$2:$AE$439,28,FALSE)="",VLOOKUP($CZ50,'Audit Values'!$A$2:$AE$439,3,FALSE),VLOOKUP($CZ50,'Audit Values'!$A$2:$AE$439,28,FALSE)))</f>
        <v>0</v>
      </c>
      <c r="P50" s="109">
        <f t="shared" si="82"/>
        <v>376.8</v>
      </c>
      <c r="Q50" s="110">
        <f t="shared" si="83"/>
        <v>376.8</v>
      </c>
      <c r="R50" s="111">
        <f t="shared" si="84"/>
        <v>376.8</v>
      </c>
      <c r="S50" s="1">
        <f t="shared" si="85"/>
        <v>391.5</v>
      </c>
      <c r="T50" s="1">
        <f t="shared" si="133"/>
        <v>0</v>
      </c>
      <c r="U50" s="1">
        <f t="shared" si="87"/>
        <v>177.4</v>
      </c>
      <c r="V50" s="1">
        <f t="shared" si="88"/>
        <v>177.4</v>
      </c>
      <c r="W50" s="1">
        <f t="shared" si="89"/>
        <v>0</v>
      </c>
      <c r="X50" s="1">
        <f>IF(ISNA(VLOOKUP($CZ50,'Audit Values'!$A$2:$AE$439,2,FALSE)),'Preliminary SO66'!D47,VLOOKUP($CZ50,'Audit Values'!$A$2:$AE$439,4,FALSE))</f>
        <v>141.30000000000001</v>
      </c>
      <c r="Y50" s="1">
        <f>ROUND((X50/6)*Weightings!$M$6,1)</f>
        <v>11.8</v>
      </c>
      <c r="Z50" s="1">
        <f>IF(ISNA(VLOOKUP($CZ50,'Audit Values'!$A$2:$AE$439,2,FALSE)),'Preliminary SO66'!F47,VLOOKUP($CZ50,'Audit Values'!$A$2:$AE$439,6,FALSE))</f>
        <v>0</v>
      </c>
      <c r="AA50" s="1">
        <f>ROUND((Z50/6)*Weightings!$M$7,1)</f>
        <v>0</v>
      </c>
      <c r="AB50" s="2">
        <f>IF(ISNA(VLOOKUP($CZ50,'Audit Values'!$A$2:$AE$439,2,FALSE)),'Preliminary SO66'!H47,VLOOKUP($CZ50,'Audit Values'!$A$2:$AE$439,8,FALSE))</f>
        <v>126</v>
      </c>
      <c r="AC50" s="1">
        <f>ROUND(AB50*Weightings!$M$8,1)</f>
        <v>57.5</v>
      </c>
      <c r="AD50" s="1">
        <f t="shared" si="117"/>
        <v>0</v>
      </c>
      <c r="AE50" s="185">
        <v>27</v>
      </c>
      <c r="AF50" s="1">
        <f>AE50*Weightings!$M$9</f>
        <v>1.3</v>
      </c>
      <c r="AG50" s="1">
        <f>IF(ISNA(VLOOKUP($CZ50,'Audit Values'!$A$2:$AE$439,2,FALSE)),'Preliminary SO66'!L47,VLOOKUP($CZ50,'Audit Values'!$A$2:$AE$439,12,FALSE))</f>
        <v>0</v>
      </c>
      <c r="AH50" s="1">
        <f>ROUND(AG50*Weightings!$M$10,1)</f>
        <v>0</v>
      </c>
      <c r="AI50" s="1">
        <f>IF(ISNA(VLOOKUP($CZ50,'Audit Values'!$A$2:$AE$439,2,FALSE)),'Preliminary SO66'!O47,VLOOKUP($CZ50,'Audit Values'!$A$2:$AE$439,15,FALSE))</f>
        <v>121</v>
      </c>
      <c r="AJ50" s="1">
        <f t="shared" si="90"/>
        <v>45.6</v>
      </c>
      <c r="AK50" s="1">
        <f>CC50/Weightings!$M$5</f>
        <v>0</v>
      </c>
      <c r="AL50" s="1">
        <f>CD50/Weightings!$M$5</f>
        <v>0</v>
      </c>
      <c r="AM50" s="1">
        <f>CH50/Weightings!$M$5</f>
        <v>0</v>
      </c>
      <c r="AN50" s="1">
        <f t="shared" si="118"/>
        <v>0</v>
      </c>
      <c r="AO50" s="1">
        <f>IF(ISNA(VLOOKUP($CZ50,'Audit Values'!$A$2:$AE$439,2,FALSE)),'Preliminary SO66'!X47,VLOOKUP($CZ50,'Audit Values'!$A$2:$AE$439,24,FALSE))</f>
        <v>0</v>
      </c>
      <c r="AP50" s="188">
        <v>504615</v>
      </c>
      <c r="AQ50" s="113">
        <f>AP50/Weightings!$M$5</f>
        <v>131.5</v>
      </c>
      <c r="AR50" s="113">
        <f t="shared" si="91"/>
        <v>685.1</v>
      </c>
      <c r="AS50" s="1">
        <f t="shared" si="92"/>
        <v>816.6</v>
      </c>
      <c r="AT50" s="1">
        <f t="shared" si="93"/>
        <v>816.6</v>
      </c>
      <c r="AU50" s="2">
        <f t="shared" si="119"/>
        <v>0</v>
      </c>
      <c r="AV50" s="82">
        <f>IF(ISNA(VLOOKUP($CZ50,'Audit Values'!$A$2:$AC$360,2,FALSE)),"",IF(AND(Weightings!H50&gt;0,VLOOKUP($CZ50,'Audit Values'!$A$2:$AC$360,29,FALSE)&lt;Weightings!H50),Weightings!H50,VLOOKUP($CZ50,'Audit Values'!$A$2:$AC$360,29,FALSE)))</f>
        <v>21</v>
      </c>
      <c r="AW50" s="82" t="str">
        <f>IF(ISNA(VLOOKUP($CZ50,'Audit Values'!$A$2:$AD$360,2,FALSE)),"",VLOOKUP($CZ50,'Audit Values'!$A$2:$AD$360,30,FALSE))</f>
        <v>A</v>
      </c>
      <c r="AX50" s="82" t="str">
        <f>IF(Weightings!G50="","",IF(Weightings!I50="Pending","PX","R"))</f>
        <v>R</v>
      </c>
      <c r="AY50" s="114">
        <f>AR50*Weightings!$M$5+AU50</f>
        <v>2629414</v>
      </c>
      <c r="AZ50" s="2">
        <f>AT50*Weightings!$M$5+AU50</f>
        <v>3134111</v>
      </c>
      <c r="BA50" s="2">
        <f>IF(Weightings!G50&gt;0,Weightings!G50,'Preliminary SO66'!AB47)</f>
        <v>3226660</v>
      </c>
      <c r="BB50" s="2">
        <f t="shared" si="94"/>
        <v>3134111</v>
      </c>
      <c r="BC50" s="124"/>
      <c r="BD50" s="124">
        <f>Weightings!E50</f>
        <v>0</v>
      </c>
      <c r="BE50" s="124">
        <f>Weightings!F50</f>
        <v>0</v>
      </c>
      <c r="BF50" s="2">
        <f t="shared" si="95"/>
        <v>0</v>
      </c>
      <c r="BG50" s="2">
        <f t="shared" si="96"/>
        <v>3134111</v>
      </c>
      <c r="BH50" s="2">
        <f>MAX(ROUND(((AR50-AO50)*4433)+AP50,0),ROUND(((AR50-AO50)*4433)+Weightings!B50,0))</f>
        <v>3623083</v>
      </c>
      <c r="BI50" s="174">
        <v>0.31</v>
      </c>
      <c r="BJ50" s="2">
        <f t="shared" si="134"/>
        <v>1123156</v>
      </c>
      <c r="BK50" s="173">
        <v>1119858</v>
      </c>
      <c r="BL50" s="2">
        <f t="shared" si="98"/>
        <v>1119858</v>
      </c>
      <c r="BM50" s="3">
        <f t="shared" si="120"/>
        <v>0.30909999999999999</v>
      </c>
      <c r="BN50" s="1">
        <f t="shared" si="99"/>
        <v>0</v>
      </c>
      <c r="BO50" s="4" t="b">
        <f t="shared" si="100"/>
        <v>0</v>
      </c>
      <c r="BP50" s="5">
        <f t="shared" si="101"/>
        <v>0</v>
      </c>
      <c r="BQ50" s="6">
        <f t="shared" si="102"/>
        <v>0</v>
      </c>
      <c r="BR50" s="4">
        <f t="shared" si="103"/>
        <v>0</v>
      </c>
      <c r="BS50" s="4" t="b">
        <f t="shared" si="104"/>
        <v>1</v>
      </c>
      <c r="BT50" s="4">
        <f t="shared" si="105"/>
        <v>113.2313</v>
      </c>
      <c r="BU50" s="6">
        <f t="shared" si="106"/>
        <v>0.45309899999999997</v>
      </c>
      <c r="BV50" s="1">
        <f t="shared" si="107"/>
        <v>177.4</v>
      </c>
      <c r="BW50" s="1">
        <f t="shared" si="108"/>
        <v>0</v>
      </c>
      <c r="BX50" s="116">
        <v>599</v>
      </c>
      <c r="BY50" s="7">
        <f t="shared" si="121"/>
        <v>0.2</v>
      </c>
      <c r="BZ50" s="7">
        <f>IF(ROUND((Weightings!$P$5*BY50^Weightings!$P$6*Weightings!$P$8 ),2)&lt;Weightings!$P$7,Weightings!$P$7,ROUND((Weightings!$P$5*BY50^Weightings!$P$6*Weightings!$P$8 ),2))</f>
        <v>1446.8</v>
      </c>
      <c r="CA50" s="8">
        <f>ROUND(BZ50/Weightings!$M$5,4)</f>
        <v>0.377</v>
      </c>
      <c r="CB50" s="1">
        <f t="shared" si="122"/>
        <v>45.6</v>
      </c>
      <c r="CC50" s="173">
        <v>0</v>
      </c>
      <c r="CD50" s="173">
        <v>0</v>
      </c>
      <c r="CE50" s="173">
        <v>0</v>
      </c>
      <c r="CF50" s="177">
        <v>0</v>
      </c>
      <c r="CG50" s="2">
        <f>AS50*Weightings!$M$5*CF50</f>
        <v>0</v>
      </c>
      <c r="CH50" s="2">
        <f t="shared" si="123"/>
        <v>0</v>
      </c>
      <c r="CI50" s="117">
        <f t="shared" si="111"/>
        <v>0.32200000000000001</v>
      </c>
      <c r="CJ50" s="4">
        <f t="shared" si="112"/>
        <v>0.7</v>
      </c>
      <c r="CK50" s="1">
        <f t="shared" si="124"/>
        <v>0</v>
      </c>
      <c r="CL50" s="1">
        <f t="shared" si="125"/>
        <v>0</v>
      </c>
      <c r="CM50" s="1">
        <f t="shared" si="126"/>
        <v>0</v>
      </c>
      <c r="CN50" s="1">
        <f>IF(ISNA(VLOOKUP($CZ50,'Audit Values'!$A$2:$AE$439,2,FALSE)),'Preliminary SO66'!T47,VLOOKUP($CZ50,'Audit Values'!$A$2:$AE$439,20,FALSE))</f>
        <v>0</v>
      </c>
      <c r="CO50" s="1">
        <f t="shared" si="127"/>
        <v>0</v>
      </c>
      <c r="CP50" s="183">
        <v>0</v>
      </c>
      <c r="CQ50" s="1">
        <f t="shared" si="128"/>
        <v>0</v>
      </c>
      <c r="CR50" s="2">
        <f>IF(ISNA(VLOOKUP($CZ50,'Audit Values'!$A$2:$AE$439,2,FALSE)),'Preliminary SO66'!V47,VLOOKUP($CZ50,'Audit Values'!$A$2:$AE$439,22,FALSE))</f>
        <v>0</v>
      </c>
      <c r="CS50" s="1">
        <f t="shared" si="129"/>
        <v>0</v>
      </c>
      <c r="CT50" s="2">
        <f>IF(ISNA(VLOOKUP($CZ50,'Audit Values'!$A$2:$AE$439,2,FALSE)),'Preliminary SO66'!W47,VLOOKUP($CZ50,'Audit Values'!$A$2:$AE$439,23,FALSE))</f>
        <v>0</v>
      </c>
      <c r="CU50" s="1">
        <f t="shared" si="136"/>
        <v>0</v>
      </c>
      <c r="CV50" s="1">
        <f t="shared" si="137"/>
        <v>0</v>
      </c>
      <c r="CW50" s="176">
        <v>0</v>
      </c>
      <c r="CX50" s="2">
        <f>IF(CW50&gt;0,Weightings!$M$11*AR50,0)</f>
        <v>0</v>
      </c>
      <c r="CY50" s="2">
        <f t="shared" si="130"/>
        <v>0</v>
      </c>
      <c r="CZ50" s="108" t="s">
        <v>342</v>
      </c>
    </row>
    <row r="51" spans="1:104">
      <c r="A51" s="82">
        <v>239</v>
      </c>
      <c r="B51" s="4" t="s">
        <v>27</v>
      </c>
      <c r="C51" s="4" t="s">
        <v>678</v>
      </c>
      <c r="D51" s="1">
        <v>590.9</v>
      </c>
      <c r="E51" s="1">
        <v>0</v>
      </c>
      <c r="F51" s="1">
        <f t="shared" si="135"/>
        <v>590.9</v>
      </c>
      <c r="G51" s="1">
        <v>590.4</v>
      </c>
      <c r="H51" s="1">
        <v>0</v>
      </c>
      <c r="I51" s="1">
        <f t="shared" si="116"/>
        <v>590.4</v>
      </c>
      <c r="J51" s="1">
        <f t="shared" si="79"/>
        <v>618.29999999999995</v>
      </c>
      <c r="K51" s="1">
        <f>IF(ISNA(VLOOKUP($CZ51,'Audit Values'!$A$2:$AE$439,2,FALSE)),'Preliminary SO66'!B48,VLOOKUP($CZ51,'Audit Values'!$A$2:$AE$439,31,FALSE))</f>
        <v>618.29999999999995</v>
      </c>
      <c r="L51" s="1">
        <f t="shared" si="80"/>
        <v>618.29999999999995</v>
      </c>
      <c r="M51" s="1">
        <f>IF(ISNA(VLOOKUP($CZ51,'Audit Values'!$A$2:$AE$439,2,FALSE)),'Preliminary SO66'!Z48,VLOOKUP($CZ51,'Audit Values'!$A$2:$AE$439,26,FALSE))</f>
        <v>0</v>
      </c>
      <c r="N51" s="1">
        <f t="shared" si="81"/>
        <v>618.29999999999995</v>
      </c>
      <c r="O51" s="1">
        <f>IF(ISNA(VLOOKUP($CZ51,'Audit Values'!$A$2:$AE$439,2,FALSE)),'Preliminary SO66'!C48,IF(VLOOKUP($CZ51,'Audit Values'!$A$2:$AE$439,28,FALSE)="",VLOOKUP($CZ51,'Audit Values'!$A$2:$AE$439,3,FALSE),VLOOKUP($CZ51,'Audit Values'!$A$2:$AE$439,28,FALSE)))</f>
        <v>0</v>
      </c>
      <c r="P51" s="109">
        <f t="shared" si="82"/>
        <v>618.29999999999995</v>
      </c>
      <c r="Q51" s="110">
        <f t="shared" si="83"/>
        <v>618.29999999999995</v>
      </c>
      <c r="R51" s="111">
        <f t="shared" si="84"/>
        <v>618.29999999999995</v>
      </c>
      <c r="S51" s="1">
        <f t="shared" si="85"/>
        <v>618.29999999999995</v>
      </c>
      <c r="T51" s="1">
        <f t="shared" si="133"/>
        <v>0</v>
      </c>
      <c r="U51" s="1">
        <f t="shared" si="87"/>
        <v>232.5</v>
      </c>
      <c r="V51" s="1">
        <f>MAX(BN51,BR51,BV51)</f>
        <v>232.5</v>
      </c>
      <c r="W51" s="1">
        <f>BW51</f>
        <v>0</v>
      </c>
      <c r="X51" s="1">
        <f>IF(ISNA(VLOOKUP($CZ51,'Audit Values'!$A$2:$AE$439,2,FALSE)),'Preliminary SO66'!D48,VLOOKUP($CZ51,'Audit Values'!$A$2:$AE$439,4,FALSE))</f>
        <v>72.099999999999994</v>
      </c>
      <c r="Y51" s="1">
        <f>ROUND((X51/6)*Weightings!$M$6,1)</f>
        <v>6</v>
      </c>
      <c r="Z51" s="1">
        <f>IF(ISNA(VLOOKUP($CZ51,'Audit Values'!$A$2:$AE$439,2,FALSE)),'Preliminary SO66'!F48,VLOOKUP($CZ51,'Audit Values'!$A$2:$AE$439,6,FALSE))</f>
        <v>0</v>
      </c>
      <c r="AA51" s="1">
        <f>ROUND((Z51/6)*Weightings!$M$7,1)</f>
        <v>0</v>
      </c>
      <c r="AB51" s="2">
        <f>IF(ISNA(VLOOKUP($CZ51,'Audit Values'!$A$2:$AE$439,2,FALSE)),'Preliminary SO66'!H48,VLOOKUP($CZ51,'Audit Values'!$A$2:$AE$439,8,FALSE))</f>
        <v>202</v>
      </c>
      <c r="AC51" s="1">
        <f>ROUND(AB51*Weightings!$M$8,1)</f>
        <v>92.1</v>
      </c>
      <c r="AD51" s="1">
        <f t="shared" si="117"/>
        <v>0</v>
      </c>
      <c r="AE51" s="185">
        <v>42</v>
      </c>
      <c r="AF51" s="1">
        <f>AE51*Weightings!$M$9</f>
        <v>2</v>
      </c>
      <c r="AG51" s="1">
        <f>IF(ISNA(VLOOKUP($CZ51,'Audit Values'!$A$2:$AE$439,2,FALSE)),'Preliminary SO66'!L48,VLOOKUP($CZ51,'Audit Values'!$A$2:$AE$439,12,FALSE))</f>
        <v>0</v>
      </c>
      <c r="AH51" s="1">
        <f>ROUND(AG51*Weightings!$M$10,1)</f>
        <v>0</v>
      </c>
      <c r="AI51" s="1">
        <f>IF(ISNA(VLOOKUP($CZ51,'Audit Values'!$A$2:$AE$439,2,FALSE)),'Preliminary SO66'!O48,VLOOKUP($CZ51,'Audit Values'!$A$2:$AE$439,15,FALSE))</f>
        <v>180</v>
      </c>
      <c r="AJ51" s="1">
        <f t="shared" si="90"/>
        <v>57</v>
      </c>
      <c r="AK51" s="1">
        <f>CC51/Weightings!$M$5</f>
        <v>0</v>
      </c>
      <c r="AL51" s="1">
        <f>CD51/Weightings!$M$5</f>
        <v>0</v>
      </c>
      <c r="AM51" s="1">
        <f>CH51/Weightings!$M$5</f>
        <v>0</v>
      </c>
      <c r="AN51" s="1">
        <f t="shared" si="118"/>
        <v>0</v>
      </c>
      <c r="AO51" s="1">
        <f>IF(ISNA(VLOOKUP($CZ51,'Audit Values'!$A$2:$AE$439,2,FALSE)),'Preliminary SO66'!X48,VLOOKUP($CZ51,'Audit Values'!$A$2:$AE$439,24,FALSE))</f>
        <v>0</v>
      </c>
      <c r="AP51" s="188">
        <v>633285</v>
      </c>
      <c r="AQ51" s="113">
        <f>AP51/Weightings!$M$5</f>
        <v>165</v>
      </c>
      <c r="AR51" s="113">
        <f t="shared" si="91"/>
        <v>1007.9</v>
      </c>
      <c r="AS51" s="1">
        <f t="shared" si="92"/>
        <v>1172.9000000000001</v>
      </c>
      <c r="AT51" s="1">
        <f t="shared" si="93"/>
        <v>1172.9000000000001</v>
      </c>
      <c r="AU51" s="2">
        <f t="shared" si="119"/>
        <v>0</v>
      </c>
      <c r="AV51" s="82">
        <f>IF(ISNA(VLOOKUP($CZ51,'Audit Values'!$A$2:$AC$360,2,FALSE)),"",IF(AND(Weightings!H51&gt;0,VLOOKUP($CZ51,'Audit Values'!$A$2:$AC$360,29,FALSE)&lt;Weightings!H51),Weightings!H51,VLOOKUP($CZ51,'Audit Values'!$A$2:$AC$360,29,FALSE)))</f>
        <v>16</v>
      </c>
      <c r="AW51" s="82" t="str">
        <f>IF(ISNA(VLOOKUP($CZ51,'Audit Values'!$A$2:$AD$360,2,FALSE)),"",VLOOKUP($CZ51,'Audit Values'!$A$2:$AD$360,30,FALSE))</f>
        <v>A</v>
      </c>
      <c r="AX51" s="82" t="str">
        <f>IF(Weightings!G51="","",IF(Weightings!I51="Pending","PX","R"))</f>
        <v>R</v>
      </c>
      <c r="AY51" s="114">
        <f>AR51*Weightings!$M$5+AU51</f>
        <v>3868320</v>
      </c>
      <c r="AZ51" s="2">
        <f>AT51*Weightings!$M$5+AU51</f>
        <v>4501590</v>
      </c>
      <c r="BA51" s="2">
        <f>IF(Weightings!G51&gt;0,Weightings!G51,'Preliminary SO66'!AB48)</f>
        <v>4660100</v>
      </c>
      <c r="BB51" s="2">
        <f t="shared" si="94"/>
        <v>4501590</v>
      </c>
      <c r="BC51" s="124"/>
      <c r="BD51" s="124">
        <f>Weightings!E51</f>
        <v>0</v>
      </c>
      <c r="BE51" s="124">
        <f>Weightings!F51</f>
        <v>0</v>
      </c>
      <c r="BF51" s="2">
        <f t="shared" si="95"/>
        <v>0</v>
      </c>
      <c r="BG51" s="2">
        <f t="shared" si="96"/>
        <v>4501590</v>
      </c>
      <c r="BH51" s="2">
        <f>MAX(ROUND(((AR51-AO51)*4433)+AP51,0),ROUND(((AR51-AO51)*4433)+Weightings!B51,0))</f>
        <v>5101306</v>
      </c>
      <c r="BI51" s="174">
        <v>0.3</v>
      </c>
      <c r="BJ51" s="2">
        <f t="shared" si="134"/>
        <v>1530392</v>
      </c>
      <c r="BK51" s="173">
        <v>1561379</v>
      </c>
      <c r="BL51" s="2">
        <f t="shared" si="98"/>
        <v>1530392</v>
      </c>
      <c r="BM51" s="3">
        <f t="shared" si="120"/>
        <v>0.3</v>
      </c>
      <c r="BN51" s="1">
        <f t="shared" si="99"/>
        <v>0</v>
      </c>
      <c r="BO51" s="4" t="b">
        <f t="shared" si="100"/>
        <v>0</v>
      </c>
      <c r="BP51" s="5">
        <f t="shared" si="101"/>
        <v>0</v>
      </c>
      <c r="BQ51" s="6">
        <f>IF(BO51=TRUE,ROUND(((7337-BP51)/3642.4)-1,6),0)</f>
        <v>0</v>
      </c>
      <c r="BR51" s="4">
        <f t="shared" si="103"/>
        <v>0</v>
      </c>
      <c r="BS51" s="4" t="b">
        <f t="shared" si="104"/>
        <v>1</v>
      </c>
      <c r="BT51" s="4">
        <f t="shared" si="105"/>
        <v>393.8963</v>
      </c>
      <c r="BU51" s="6">
        <f>IF(BS51=TRUE,ROUND(((5406-BT51)/3642.4)-1,6),0)</f>
        <v>0.37604399999999999</v>
      </c>
      <c r="BV51" s="1">
        <f t="shared" si="107"/>
        <v>232.5</v>
      </c>
      <c r="BW51" s="1">
        <f t="shared" si="108"/>
        <v>0</v>
      </c>
      <c r="BX51" s="116">
        <v>418.5</v>
      </c>
      <c r="BY51" s="7">
        <f t="shared" si="121"/>
        <v>0.43</v>
      </c>
      <c r="BZ51" s="7">
        <f>IF(ROUND((Weightings!$P$5*BY51^Weightings!$P$6*Weightings!$P$8 ),2)&lt;Weightings!$P$7,Weightings!$P$7,ROUND((Weightings!$P$5*BY51^Weightings!$P$6*Weightings!$P$8 ),2))</f>
        <v>1215.01</v>
      </c>
      <c r="CA51" s="8">
        <f>ROUND(BZ51/Weightings!$M$5,4)</f>
        <v>0.31659999999999999</v>
      </c>
      <c r="CB51" s="1">
        <f t="shared" si="122"/>
        <v>57</v>
      </c>
      <c r="CC51" s="173">
        <v>0</v>
      </c>
      <c r="CD51" s="173">
        <v>0</v>
      </c>
      <c r="CE51" s="173">
        <v>0</v>
      </c>
      <c r="CF51" s="177">
        <v>0</v>
      </c>
      <c r="CG51" s="2">
        <f>AS51*Weightings!$M$5*CF51</f>
        <v>0</v>
      </c>
      <c r="CH51" s="2">
        <f>IF(CE51&gt;CG51,CG51,CE51)</f>
        <v>0</v>
      </c>
      <c r="CI51" s="117">
        <f t="shared" si="111"/>
        <v>0.32700000000000001</v>
      </c>
      <c r="CJ51" s="4">
        <f t="shared" si="112"/>
        <v>1.5</v>
      </c>
      <c r="CK51" s="1">
        <f t="shared" si="124"/>
        <v>0</v>
      </c>
      <c r="CL51" s="1">
        <f t="shared" si="125"/>
        <v>0</v>
      </c>
      <c r="CM51" s="1">
        <f t="shared" si="126"/>
        <v>0</v>
      </c>
      <c r="CN51" s="1">
        <f>IF(ISNA(VLOOKUP($CZ51,'Audit Values'!$A$2:$AE$439,2,FALSE)),'Preliminary SO66'!T48,VLOOKUP($CZ51,'Audit Values'!$A$2:$AE$439,20,FALSE))</f>
        <v>0</v>
      </c>
      <c r="CO51" s="1">
        <f t="shared" si="127"/>
        <v>0</v>
      </c>
      <c r="CP51" s="183">
        <v>0</v>
      </c>
      <c r="CQ51" s="1">
        <f t="shared" si="128"/>
        <v>0</v>
      </c>
      <c r="CR51" s="2">
        <f>IF(ISNA(VLOOKUP($CZ51,'Audit Values'!$A$2:$AE$439,2,FALSE)),'Preliminary SO66'!V48,VLOOKUP($CZ51,'Audit Values'!$A$2:$AE$439,22,FALSE))</f>
        <v>0</v>
      </c>
      <c r="CS51" s="1">
        <f t="shared" si="129"/>
        <v>0</v>
      </c>
      <c r="CT51" s="2">
        <f>IF(ISNA(VLOOKUP($CZ51,'Audit Values'!$A$2:$AE$439,2,FALSE)),'Preliminary SO66'!W48,VLOOKUP($CZ51,'Audit Values'!$A$2:$AE$439,23,FALSE))</f>
        <v>0</v>
      </c>
      <c r="CU51" s="1">
        <f t="shared" ref="CU51:CU87" si="138">CT51*0.08</f>
        <v>0</v>
      </c>
      <c r="CV51" s="1">
        <f t="shared" ref="CV51:CV87" si="139">CO51+CQ51+CS51+CU51</f>
        <v>0</v>
      </c>
      <c r="CW51" s="176">
        <v>0</v>
      </c>
      <c r="CX51" s="2">
        <f>IF(CW51&gt;0,Weightings!$M$11*AR51,0)</f>
        <v>0</v>
      </c>
      <c r="CY51" s="2">
        <f t="shared" si="130"/>
        <v>0</v>
      </c>
      <c r="CZ51" s="108" t="s">
        <v>343</v>
      </c>
    </row>
    <row r="52" spans="1:104">
      <c r="A52" s="82">
        <v>240</v>
      </c>
      <c r="B52" s="4" t="s">
        <v>27</v>
      </c>
      <c r="C52" s="4" t="s">
        <v>679</v>
      </c>
      <c r="D52" s="1">
        <v>576</v>
      </c>
      <c r="E52" s="1">
        <v>0</v>
      </c>
      <c r="F52" s="1">
        <f t="shared" si="135"/>
        <v>576</v>
      </c>
      <c r="G52" s="1">
        <v>582.5</v>
      </c>
      <c r="H52" s="1">
        <v>0</v>
      </c>
      <c r="I52" s="1">
        <f t="shared" si="116"/>
        <v>582.5</v>
      </c>
      <c r="J52" s="1">
        <f t="shared" si="79"/>
        <v>587.79999999999995</v>
      </c>
      <c r="K52" s="1">
        <f>IF(ISNA(VLOOKUP($CZ52,'Audit Values'!$A$2:$AE$439,2,FALSE)),'Preliminary SO66'!B49,VLOOKUP($CZ52,'Audit Values'!$A$2:$AE$439,31,FALSE))</f>
        <v>578.5</v>
      </c>
      <c r="L52" s="1">
        <f t="shared" si="80"/>
        <v>582.5</v>
      </c>
      <c r="M52" s="1">
        <f>IF(ISNA(VLOOKUP($CZ52,'Audit Values'!$A$2:$AE$439,2,FALSE)),'Preliminary SO66'!Z49,VLOOKUP($CZ52,'Audit Values'!$A$2:$AE$439,26,FALSE))</f>
        <v>0</v>
      </c>
      <c r="N52" s="1">
        <f t="shared" si="81"/>
        <v>582.5</v>
      </c>
      <c r="O52" s="1">
        <f>IF(ISNA(VLOOKUP($CZ52,'Audit Values'!$A$2:$AE$439,2,FALSE)),'Preliminary SO66'!C49,IF(VLOOKUP($CZ52,'Audit Values'!$A$2:$AE$439,28,FALSE)="",VLOOKUP($CZ52,'Audit Values'!$A$2:$AE$439,3,FALSE),VLOOKUP($CZ52,'Audit Values'!$A$2:$AE$439,28,FALSE)))</f>
        <v>12</v>
      </c>
      <c r="P52" s="109">
        <f t="shared" si="82"/>
        <v>590.5</v>
      </c>
      <c r="Q52" s="110">
        <f t="shared" si="83"/>
        <v>599.79999999999995</v>
      </c>
      <c r="R52" s="111">
        <f t="shared" si="84"/>
        <v>599.79999999999995</v>
      </c>
      <c r="S52" s="1">
        <f t="shared" si="85"/>
        <v>594.5</v>
      </c>
      <c r="T52" s="1">
        <f t="shared" si="133"/>
        <v>9.3000000000000007</v>
      </c>
      <c r="U52" s="1">
        <f t="shared" si="87"/>
        <v>228.4</v>
      </c>
      <c r="V52" s="1">
        <f t="shared" si="88"/>
        <v>228.4</v>
      </c>
      <c r="W52" s="1">
        <f t="shared" si="89"/>
        <v>0</v>
      </c>
      <c r="X52" s="1">
        <f>IF(ISNA(VLOOKUP($CZ52,'Audit Values'!$A$2:$AE$439,2,FALSE)),'Preliminary SO66'!D49,VLOOKUP($CZ52,'Audit Values'!$A$2:$AE$439,4,FALSE))</f>
        <v>150.9</v>
      </c>
      <c r="Y52" s="1">
        <f>ROUND((X52/6)*Weightings!$M$6,1)</f>
        <v>12.6</v>
      </c>
      <c r="Z52" s="1">
        <f>IF(ISNA(VLOOKUP($CZ52,'Audit Values'!$A$2:$AE$439,2,FALSE)),'Preliminary SO66'!F49,VLOOKUP($CZ52,'Audit Values'!$A$2:$AE$439,6,FALSE))</f>
        <v>0</v>
      </c>
      <c r="AA52" s="1">
        <f>ROUND((Z52/6)*Weightings!$M$7,1)</f>
        <v>0</v>
      </c>
      <c r="AB52" s="2">
        <f>IF(ISNA(VLOOKUP($CZ52,'Audit Values'!$A$2:$AE$439,2,FALSE)),'Preliminary SO66'!H49,VLOOKUP($CZ52,'Audit Values'!$A$2:$AE$439,8,FALSE))</f>
        <v>211</v>
      </c>
      <c r="AC52" s="1">
        <f>ROUND(AB52*Weightings!$M$8,1)</f>
        <v>96.2</v>
      </c>
      <c r="AD52" s="1">
        <f t="shared" si="117"/>
        <v>0.7</v>
      </c>
      <c r="AE52" s="185">
        <v>66</v>
      </c>
      <c r="AF52" s="1">
        <f>AE52*Weightings!$M$9</f>
        <v>3.1</v>
      </c>
      <c r="AG52" s="1">
        <f>IF(ISNA(VLOOKUP($CZ52,'Audit Values'!$A$2:$AE$439,2,FALSE)),'Preliminary SO66'!L49,VLOOKUP($CZ52,'Audit Values'!$A$2:$AE$439,12,FALSE))</f>
        <v>0</v>
      </c>
      <c r="AH52" s="1">
        <f>ROUND(AG52*Weightings!$M$10,1)</f>
        <v>0</v>
      </c>
      <c r="AI52" s="1">
        <f>IF(ISNA(VLOOKUP($CZ52,'Audit Values'!$A$2:$AE$439,2,FALSE)),'Preliminary SO66'!O49,VLOOKUP($CZ52,'Audit Values'!$A$2:$AE$439,15,FALSE))</f>
        <v>182</v>
      </c>
      <c r="AJ52" s="1">
        <f t="shared" si="90"/>
        <v>51.9</v>
      </c>
      <c r="AK52" s="1">
        <f>CC52/Weightings!$M$5</f>
        <v>0</v>
      </c>
      <c r="AL52" s="1">
        <f>CD52/Weightings!$M$5</f>
        <v>0</v>
      </c>
      <c r="AM52" s="1">
        <f>CH52/Weightings!$M$5</f>
        <v>0</v>
      </c>
      <c r="AN52" s="1">
        <f t="shared" si="118"/>
        <v>9.8000000000000007</v>
      </c>
      <c r="AO52" s="1">
        <f>IF(ISNA(VLOOKUP($CZ52,'Audit Values'!$A$2:$AE$439,2,FALSE)),'Preliminary SO66'!X49,VLOOKUP($CZ52,'Audit Values'!$A$2:$AE$439,24,FALSE))</f>
        <v>0</v>
      </c>
      <c r="AP52" s="188">
        <v>558291</v>
      </c>
      <c r="AQ52" s="113">
        <f>AP52/Weightings!$M$5</f>
        <v>145.5</v>
      </c>
      <c r="AR52" s="113">
        <f t="shared" si="91"/>
        <v>997.2</v>
      </c>
      <c r="AS52" s="1">
        <f t="shared" si="92"/>
        <v>1142.7</v>
      </c>
      <c r="AT52" s="1">
        <f t="shared" si="93"/>
        <v>1142.7</v>
      </c>
      <c r="AU52" s="2">
        <f t="shared" si="119"/>
        <v>0</v>
      </c>
      <c r="AV52" s="82">
        <f>IF(ISNA(VLOOKUP($CZ52,'Audit Values'!$A$2:$AC$360,2,FALSE)),"",IF(AND(Weightings!H52&gt;0,VLOOKUP($CZ52,'Audit Values'!$A$2:$AC$360,29,FALSE)&lt;Weightings!H52),Weightings!H52,VLOOKUP($CZ52,'Audit Values'!$A$2:$AC$360,29,FALSE)))</f>
        <v>10</v>
      </c>
      <c r="AW52" s="82" t="str">
        <f>IF(ISNA(VLOOKUP($CZ52,'Audit Values'!$A$2:$AD$360,2,FALSE)),"",VLOOKUP($CZ52,'Audit Values'!$A$2:$AD$360,30,FALSE))</f>
        <v>A</v>
      </c>
      <c r="AX52" s="82" t="str">
        <f>IF(Weightings!G52="","",IF(Weightings!I52="Pending","PX","R"))</f>
        <v>R</v>
      </c>
      <c r="AY52" s="114">
        <f>AR52*Weightings!$M$5+AU52</f>
        <v>3827254</v>
      </c>
      <c r="AZ52" s="2">
        <f>AT52*Weightings!$M$5+AU52</f>
        <v>4385683</v>
      </c>
      <c r="BA52" s="2">
        <f>IF(Weightings!G52&gt;0,Weightings!G52,'Preliminary SO66'!AB49)</f>
        <v>4449091</v>
      </c>
      <c r="BB52" s="2">
        <f t="shared" si="94"/>
        <v>4385683</v>
      </c>
      <c r="BC52" s="124"/>
      <c r="BD52" s="124">
        <f>Weightings!E52</f>
        <v>-1096</v>
      </c>
      <c r="BE52" s="124">
        <f>Weightings!F52</f>
        <v>0</v>
      </c>
      <c r="BF52" s="2">
        <f t="shared" si="95"/>
        <v>-1096</v>
      </c>
      <c r="BG52" s="2">
        <f t="shared" si="96"/>
        <v>4384587</v>
      </c>
      <c r="BH52" s="2">
        <f>MAX(ROUND(((AR52-AO52)*4433)+AP52,0),ROUND(((AR52-AO52)*4433)+Weightings!B52,0))</f>
        <v>5014672</v>
      </c>
      <c r="BI52" s="174">
        <v>0.3</v>
      </c>
      <c r="BJ52" s="2">
        <f t="shared" si="134"/>
        <v>1504402</v>
      </c>
      <c r="BK52" s="173">
        <v>1492508</v>
      </c>
      <c r="BL52" s="2">
        <f t="shared" si="98"/>
        <v>1492508</v>
      </c>
      <c r="BM52" s="3">
        <f t="shared" si="120"/>
        <v>0.29759999999999998</v>
      </c>
      <c r="BN52" s="1">
        <f t="shared" si="99"/>
        <v>0</v>
      </c>
      <c r="BO52" s="4" t="b">
        <f t="shared" si="100"/>
        <v>0</v>
      </c>
      <c r="BP52" s="5">
        <f t="shared" si="101"/>
        <v>0</v>
      </c>
      <c r="BQ52" s="6">
        <f t="shared" si="102"/>
        <v>0</v>
      </c>
      <c r="BR52" s="4">
        <f t="shared" si="103"/>
        <v>0</v>
      </c>
      <c r="BS52" s="4" t="b">
        <f t="shared" si="104"/>
        <v>1</v>
      </c>
      <c r="BT52" s="4">
        <f t="shared" si="105"/>
        <v>364.44380000000001</v>
      </c>
      <c r="BU52" s="6">
        <f t="shared" si="106"/>
        <v>0.38413000000000003</v>
      </c>
      <c r="BV52" s="1">
        <f t="shared" si="107"/>
        <v>228.4</v>
      </c>
      <c r="BW52" s="1">
        <f t="shared" si="108"/>
        <v>0</v>
      </c>
      <c r="BX52" s="116">
        <v>269.3</v>
      </c>
      <c r="BY52" s="7">
        <f t="shared" si="121"/>
        <v>0.68</v>
      </c>
      <c r="BZ52" s="7">
        <f>IF(ROUND((Weightings!$P$5*BY52^Weightings!$P$6*Weightings!$P$8 ),2)&lt;Weightings!$P$7,Weightings!$P$7,ROUND((Weightings!$P$5*BY52^Weightings!$P$6*Weightings!$P$8 ),2))</f>
        <v>1094.4100000000001</v>
      </c>
      <c r="CA52" s="8">
        <f>ROUND(BZ52/Weightings!$M$5,4)</f>
        <v>0.28520000000000001</v>
      </c>
      <c r="CB52" s="1">
        <f t="shared" si="122"/>
        <v>51.9</v>
      </c>
      <c r="CC52" s="173">
        <v>0</v>
      </c>
      <c r="CD52" s="173">
        <v>0</v>
      </c>
      <c r="CE52" s="173">
        <v>0</v>
      </c>
      <c r="CF52" s="177">
        <v>0</v>
      </c>
      <c r="CG52" s="2">
        <f>AS52*Weightings!$M$5*CF52</f>
        <v>0</v>
      </c>
      <c r="CH52" s="2">
        <f t="shared" si="123"/>
        <v>0</v>
      </c>
      <c r="CI52" s="117">
        <f t="shared" si="111"/>
        <v>0.35499999999999998</v>
      </c>
      <c r="CJ52" s="4">
        <f t="shared" si="112"/>
        <v>2.2000000000000002</v>
      </c>
      <c r="CK52" s="1">
        <f t="shared" si="124"/>
        <v>0</v>
      </c>
      <c r="CL52" s="1">
        <f t="shared" si="125"/>
        <v>0</v>
      </c>
      <c r="CM52" s="1">
        <f t="shared" si="126"/>
        <v>0.7</v>
      </c>
      <c r="CN52" s="1">
        <f>IF(ISNA(VLOOKUP($CZ52,'Audit Values'!$A$2:$AE$439,2,FALSE)),'Preliminary SO66'!T49,VLOOKUP($CZ52,'Audit Values'!$A$2:$AE$439,20,FALSE))</f>
        <v>9.3000000000000007</v>
      </c>
      <c r="CO52" s="1">
        <f t="shared" si="127"/>
        <v>9.8000000000000007</v>
      </c>
      <c r="CP52" s="183">
        <v>0</v>
      </c>
      <c r="CQ52" s="1">
        <f t="shared" si="128"/>
        <v>0</v>
      </c>
      <c r="CR52" s="2">
        <f>IF(ISNA(VLOOKUP($CZ52,'Audit Values'!$A$2:$AE$439,2,FALSE)),'Preliminary SO66'!V49,VLOOKUP($CZ52,'Audit Values'!$A$2:$AE$439,22,FALSE))</f>
        <v>0</v>
      </c>
      <c r="CS52" s="1">
        <f t="shared" si="129"/>
        <v>0</v>
      </c>
      <c r="CT52" s="2">
        <f>IF(ISNA(VLOOKUP($CZ52,'Audit Values'!$A$2:$AE$439,2,FALSE)),'Preliminary SO66'!W49,VLOOKUP($CZ52,'Audit Values'!$A$2:$AE$439,23,FALSE))</f>
        <v>0</v>
      </c>
      <c r="CU52" s="1">
        <f t="shared" si="138"/>
        <v>0</v>
      </c>
      <c r="CV52" s="1">
        <f t="shared" si="139"/>
        <v>9.8000000000000007</v>
      </c>
      <c r="CW52" s="176">
        <v>0</v>
      </c>
      <c r="CX52" s="2">
        <f>IF(CW52&gt;0,Weightings!$M$11*AR52,0)</f>
        <v>0</v>
      </c>
      <c r="CY52" s="2">
        <f t="shared" si="130"/>
        <v>0</v>
      </c>
      <c r="CZ52" s="108" t="s">
        <v>344</v>
      </c>
    </row>
    <row r="53" spans="1:104">
      <c r="A53" s="82">
        <v>241</v>
      </c>
      <c r="B53" s="4" t="s">
        <v>28</v>
      </c>
      <c r="C53" s="4" t="s">
        <v>680</v>
      </c>
      <c r="D53" s="1">
        <v>206</v>
      </c>
      <c r="E53" s="1">
        <v>0</v>
      </c>
      <c r="F53" s="1">
        <f t="shared" si="135"/>
        <v>206</v>
      </c>
      <c r="G53" s="1">
        <v>194.5</v>
      </c>
      <c r="H53" s="1">
        <v>0</v>
      </c>
      <c r="I53" s="1">
        <f t="shared" si="116"/>
        <v>194.5</v>
      </c>
      <c r="J53" s="1">
        <f t="shared" si="79"/>
        <v>190</v>
      </c>
      <c r="K53" s="1">
        <f>IF(ISNA(VLOOKUP($CZ53,'Audit Values'!$A$2:$AE$439,2,FALSE)),'Preliminary SO66'!B50,VLOOKUP($CZ53,'Audit Values'!$A$2:$AE$439,31,FALSE))</f>
        <v>190</v>
      </c>
      <c r="L53" s="1">
        <f t="shared" si="80"/>
        <v>196.8</v>
      </c>
      <c r="M53" s="1">
        <f>IF(ISNA(VLOOKUP($CZ53,'Audit Values'!$A$2:$AE$439,2,FALSE)),'Preliminary SO66'!Z50,VLOOKUP($CZ53,'Audit Values'!$A$2:$AE$439,26,FALSE))</f>
        <v>0</v>
      </c>
      <c r="N53" s="1">
        <f t="shared" si="81"/>
        <v>196.8</v>
      </c>
      <c r="O53" s="1">
        <f>IF(ISNA(VLOOKUP($CZ53,'Audit Values'!$A$2:$AE$439,2,FALSE)),'Preliminary SO66'!C50,IF(VLOOKUP($CZ53,'Audit Values'!$A$2:$AE$439,28,FALSE)="",VLOOKUP($CZ53,'Audit Values'!$A$2:$AE$439,3,FALSE),VLOOKUP($CZ53,'Audit Values'!$A$2:$AE$439,28,FALSE)))</f>
        <v>0</v>
      </c>
      <c r="P53" s="109">
        <f t="shared" si="82"/>
        <v>190</v>
      </c>
      <c r="Q53" s="110">
        <f t="shared" si="83"/>
        <v>190</v>
      </c>
      <c r="R53" s="111">
        <f t="shared" si="84"/>
        <v>190</v>
      </c>
      <c r="S53" s="1">
        <f t="shared" si="85"/>
        <v>196.8</v>
      </c>
      <c r="T53" s="1">
        <f t="shared" si="133"/>
        <v>0</v>
      </c>
      <c r="U53" s="1">
        <f t="shared" si="87"/>
        <v>149.1</v>
      </c>
      <c r="V53" s="1">
        <f t="shared" si="88"/>
        <v>149.1</v>
      </c>
      <c r="W53" s="1">
        <f t="shared" si="89"/>
        <v>0</v>
      </c>
      <c r="X53" s="1">
        <f>IF(ISNA(VLOOKUP($CZ53,'Audit Values'!$A$2:$AE$439,2,FALSE)),'Preliminary SO66'!D50,VLOOKUP($CZ53,'Audit Values'!$A$2:$AE$439,4,FALSE))</f>
        <v>0</v>
      </c>
      <c r="Y53" s="1">
        <f>ROUND((X53/6)*Weightings!$M$6,1)</f>
        <v>0</v>
      </c>
      <c r="Z53" s="1">
        <f>IF(ISNA(VLOOKUP($CZ53,'Audit Values'!$A$2:$AE$439,2,FALSE)),'Preliminary SO66'!F50,VLOOKUP($CZ53,'Audit Values'!$A$2:$AE$439,6,FALSE))</f>
        <v>0</v>
      </c>
      <c r="AA53" s="1">
        <f>ROUND((Z53/6)*Weightings!$M$7,1)</f>
        <v>0</v>
      </c>
      <c r="AB53" s="2">
        <f>IF(ISNA(VLOOKUP($CZ53,'Audit Values'!$A$2:$AE$439,2,FALSE)),'Preliminary SO66'!H50,VLOOKUP($CZ53,'Audit Values'!$A$2:$AE$439,8,FALSE))</f>
        <v>48</v>
      </c>
      <c r="AC53" s="1">
        <f>ROUND(AB53*Weightings!$M$8,1)</f>
        <v>21.9</v>
      </c>
      <c r="AD53" s="1">
        <f t="shared" si="117"/>
        <v>0</v>
      </c>
      <c r="AE53" s="185">
        <v>4</v>
      </c>
      <c r="AF53" s="1">
        <f>AE53*Weightings!$M$9</f>
        <v>0.2</v>
      </c>
      <c r="AG53" s="1">
        <f>IF(ISNA(VLOOKUP($CZ53,'Audit Values'!$A$2:$AE$439,2,FALSE)),'Preliminary SO66'!L50,VLOOKUP($CZ53,'Audit Values'!$A$2:$AE$439,12,FALSE))</f>
        <v>0</v>
      </c>
      <c r="AH53" s="1">
        <f>ROUND(AG53*Weightings!$M$10,1)</f>
        <v>0</v>
      </c>
      <c r="AI53" s="1">
        <f>IF(ISNA(VLOOKUP($CZ53,'Audit Values'!$A$2:$AE$439,2,FALSE)),'Preliminary SO66'!O50,VLOOKUP($CZ53,'Audit Values'!$A$2:$AE$439,15,FALSE))</f>
        <v>54</v>
      </c>
      <c r="AJ53" s="1">
        <f t="shared" si="90"/>
        <v>25.1</v>
      </c>
      <c r="AK53" s="1">
        <f>CC53/Weightings!$M$5</f>
        <v>0</v>
      </c>
      <c r="AL53" s="1">
        <f>CD53/Weightings!$M$5</f>
        <v>0</v>
      </c>
      <c r="AM53" s="1">
        <f>CH53/Weightings!$M$5</f>
        <v>0</v>
      </c>
      <c r="AN53" s="1">
        <f t="shared" si="118"/>
        <v>0</v>
      </c>
      <c r="AO53" s="1">
        <f>IF(ISNA(VLOOKUP($CZ53,'Audit Values'!$A$2:$AE$439,2,FALSE)),'Preliminary SO66'!X50,VLOOKUP($CZ53,'Audit Values'!$A$2:$AE$439,24,FALSE))</f>
        <v>0</v>
      </c>
      <c r="AP53" s="188">
        <v>158594.00000000003</v>
      </c>
      <c r="AQ53" s="113">
        <f>AP53/Weightings!$M$5</f>
        <v>41.3</v>
      </c>
      <c r="AR53" s="113">
        <f t="shared" si="91"/>
        <v>393.1</v>
      </c>
      <c r="AS53" s="1">
        <f t="shared" si="92"/>
        <v>434.4</v>
      </c>
      <c r="AT53" s="1">
        <f t="shared" si="93"/>
        <v>434.4</v>
      </c>
      <c r="AU53" s="2">
        <f t="shared" si="119"/>
        <v>0</v>
      </c>
      <c r="AV53" s="82">
        <f>IF(ISNA(VLOOKUP($CZ53,'Audit Values'!$A$2:$AC$360,2,FALSE)),"",IF(AND(Weightings!H53&gt;0,VLOOKUP($CZ53,'Audit Values'!$A$2:$AC$360,29,FALSE)&lt;Weightings!H53),Weightings!H53,VLOOKUP($CZ53,'Audit Values'!$A$2:$AC$360,29,FALSE)))</f>
        <v>18</v>
      </c>
      <c r="AW53" s="82" t="str">
        <f>IF(ISNA(VLOOKUP($CZ53,'Audit Values'!$A$2:$AD$360,2,FALSE)),"",VLOOKUP($CZ53,'Audit Values'!$A$2:$AD$360,30,FALSE))</f>
        <v>A</v>
      </c>
      <c r="AX53" s="82" t="str">
        <f>IF(Weightings!G53="","",IF(Weightings!I53="Pending","PX","R"))</f>
        <v/>
      </c>
      <c r="AY53" s="114">
        <f>AR53*Weightings!$M$5+AU53</f>
        <v>1508718</v>
      </c>
      <c r="AZ53" s="2">
        <f>AT53*Weightings!$M$5+AU53</f>
        <v>1667227</v>
      </c>
      <c r="BA53" s="2">
        <f>IF(Weightings!G53&gt;0,Weightings!G53,'Preliminary SO66'!AB50)</f>
        <v>1743987</v>
      </c>
      <c r="BB53" s="2">
        <f t="shared" si="94"/>
        <v>1667227</v>
      </c>
      <c r="BC53" s="124"/>
      <c r="BD53" s="124">
        <f>Weightings!E53</f>
        <v>0</v>
      </c>
      <c r="BE53" s="124">
        <f>Weightings!F53</f>
        <v>0</v>
      </c>
      <c r="BF53" s="2">
        <f t="shared" si="95"/>
        <v>0</v>
      </c>
      <c r="BG53" s="2">
        <f t="shared" si="96"/>
        <v>1667227</v>
      </c>
      <c r="BH53" s="2">
        <f>MAX(ROUND(((AR53-AO53)*4433)+AP53,0),ROUND(((AR53-AO53)*4433)+Weightings!B53,0))</f>
        <v>1901206</v>
      </c>
      <c r="BI53" s="174">
        <v>0.3</v>
      </c>
      <c r="BJ53" s="2">
        <f t="shared" si="134"/>
        <v>570362</v>
      </c>
      <c r="BK53" s="173">
        <v>596377</v>
      </c>
      <c r="BL53" s="2">
        <f t="shared" si="98"/>
        <v>570362</v>
      </c>
      <c r="BM53" s="3">
        <f t="shared" si="120"/>
        <v>0.3</v>
      </c>
      <c r="BN53" s="1">
        <f t="shared" si="99"/>
        <v>0</v>
      </c>
      <c r="BO53" s="4" t="b">
        <f t="shared" si="100"/>
        <v>1</v>
      </c>
      <c r="BP53" s="5">
        <f t="shared" si="101"/>
        <v>934.60400000000004</v>
      </c>
      <c r="BQ53" s="6">
        <f t="shared" si="102"/>
        <v>0.757741</v>
      </c>
      <c r="BR53" s="4">
        <f t="shared" si="103"/>
        <v>149.1</v>
      </c>
      <c r="BS53" s="4" t="b">
        <f t="shared" si="104"/>
        <v>0</v>
      </c>
      <c r="BT53" s="4">
        <f t="shared" si="105"/>
        <v>0</v>
      </c>
      <c r="BU53" s="6">
        <f t="shared" si="106"/>
        <v>0</v>
      </c>
      <c r="BV53" s="1">
        <f t="shared" si="107"/>
        <v>0</v>
      </c>
      <c r="BW53" s="1">
        <f t="shared" si="108"/>
        <v>0</v>
      </c>
      <c r="BX53" s="116">
        <v>681.5</v>
      </c>
      <c r="BY53" s="7">
        <f t="shared" si="121"/>
        <v>0.08</v>
      </c>
      <c r="BZ53" s="7">
        <f>IF(ROUND((Weightings!$P$5*BY53^Weightings!$P$6*Weightings!$P$8 ),2)&lt;Weightings!$P$7,Weightings!$P$7,ROUND((Weightings!$P$5*BY53^Weightings!$P$6*Weightings!$P$8 ),2))</f>
        <v>1783.12</v>
      </c>
      <c r="CA53" s="8">
        <f>ROUND(BZ53/Weightings!$M$5,4)</f>
        <v>0.46460000000000001</v>
      </c>
      <c r="CB53" s="1">
        <f t="shared" si="122"/>
        <v>25.1</v>
      </c>
      <c r="CC53" s="173">
        <v>0</v>
      </c>
      <c r="CD53" s="173">
        <v>0</v>
      </c>
      <c r="CE53" s="173">
        <v>0</v>
      </c>
      <c r="CF53" s="177">
        <v>0</v>
      </c>
      <c r="CG53" s="2">
        <f>AS53*Weightings!$M$5*CF53</f>
        <v>0</v>
      </c>
      <c r="CH53" s="2">
        <f t="shared" si="123"/>
        <v>0</v>
      </c>
      <c r="CI53" s="117">
        <f t="shared" si="111"/>
        <v>0.24399999999999999</v>
      </c>
      <c r="CJ53" s="4">
        <f t="shared" si="112"/>
        <v>0.3</v>
      </c>
      <c r="CK53" s="1">
        <f t="shared" si="124"/>
        <v>0</v>
      </c>
      <c r="CL53" s="1">
        <f t="shared" si="125"/>
        <v>0</v>
      </c>
      <c r="CM53" s="1">
        <f t="shared" si="126"/>
        <v>0</v>
      </c>
      <c r="CN53" s="1">
        <f>IF(ISNA(VLOOKUP($CZ53,'Audit Values'!$A$2:$AE$439,2,FALSE)),'Preliminary SO66'!T50,VLOOKUP($CZ53,'Audit Values'!$A$2:$AE$439,20,FALSE))</f>
        <v>0</v>
      </c>
      <c r="CO53" s="1">
        <f t="shared" si="127"/>
        <v>0</v>
      </c>
      <c r="CP53" s="183">
        <v>0</v>
      </c>
      <c r="CQ53" s="1">
        <f t="shared" si="128"/>
        <v>0</v>
      </c>
      <c r="CR53" s="2">
        <f>IF(ISNA(VLOOKUP($CZ53,'Audit Values'!$A$2:$AE$439,2,FALSE)),'Preliminary SO66'!V50,VLOOKUP($CZ53,'Audit Values'!$A$2:$AE$439,22,FALSE))</f>
        <v>0</v>
      </c>
      <c r="CS53" s="1">
        <f t="shared" si="129"/>
        <v>0</v>
      </c>
      <c r="CT53" s="2">
        <f>IF(ISNA(VLOOKUP($CZ53,'Audit Values'!$A$2:$AE$439,2,FALSE)),'Preliminary SO66'!W50,VLOOKUP($CZ53,'Audit Values'!$A$2:$AE$439,23,FALSE))</f>
        <v>0</v>
      </c>
      <c r="CU53" s="1">
        <f t="shared" si="138"/>
        <v>0</v>
      </c>
      <c r="CV53" s="1">
        <f t="shared" si="139"/>
        <v>0</v>
      </c>
      <c r="CW53" s="176">
        <v>0</v>
      </c>
      <c r="CX53" s="2">
        <f>IF(CW53&gt;0,Weightings!$M$11*AR53,0)</f>
        <v>0</v>
      </c>
      <c r="CY53" s="2">
        <f t="shared" si="130"/>
        <v>0</v>
      </c>
      <c r="CZ53" s="108" t="s">
        <v>345</v>
      </c>
    </row>
    <row r="54" spans="1:104">
      <c r="A54" s="82">
        <v>242</v>
      </c>
      <c r="B54" s="4" t="s">
        <v>28</v>
      </c>
      <c r="C54" s="4" t="s">
        <v>681</v>
      </c>
      <c r="D54" s="1">
        <v>99.5</v>
      </c>
      <c r="E54" s="1">
        <v>0</v>
      </c>
      <c r="F54" s="1">
        <f t="shared" si="135"/>
        <v>99.5</v>
      </c>
      <c r="G54" s="1">
        <v>100</v>
      </c>
      <c r="H54" s="1">
        <v>0</v>
      </c>
      <c r="I54" s="1">
        <f t="shared" si="116"/>
        <v>100</v>
      </c>
      <c r="J54" s="1">
        <f t="shared" si="79"/>
        <v>90.8</v>
      </c>
      <c r="K54" s="1">
        <f>IF(ISNA(VLOOKUP($CZ54,'Audit Values'!$A$2:$AE$439,2,FALSE)),'Preliminary SO66'!B51,VLOOKUP($CZ54,'Audit Values'!$A$2:$AE$439,31,FALSE))</f>
        <v>90.8</v>
      </c>
      <c r="L54" s="1">
        <f t="shared" si="80"/>
        <v>100</v>
      </c>
      <c r="M54" s="1">
        <f>IF(ISNA(VLOOKUP($CZ54,'Audit Values'!$A$2:$AE$439,2,FALSE)),'Preliminary SO66'!Z51,VLOOKUP($CZ54,'Audit Values'!$A$2:$AE$439,26,FALSE))</f>
        <v>0</v>
      </c>
      <c r="N54" s="1">
        <f t="shared" si="81"/>
        <v>100</v>
      </c>
      <c r="O54" s="1">
        <f>IF(ISNA(VLOOKUP($CZ54,'Audit Values'!$A$2:$AE$439,2,FALSE)),'Preliminary SO66'!C51,IF(VLOOKUP($CZ54,'Audit Values'!$A$2:$AE$439,28,FALSE)="",VLOOKUP($CZ54,'Audit Values'!$A$2:$AE$439,3,FALSE),VLOOKUP($CZ54,'Audit Values'!$A$2:$AE$439,28,FALSE)))</f>
        <v>0</v>
      </c>
      <c r="P54" s="109">
        <f t="shared" si="82"/>
        <v>90.8</v>
      </c>
      <c r="Q54" s="110">
        <f t="shared" si="83"/>
        <v>90.8</v>
      </c>
      <c r="R54" s="111">
        <f t="shared" si="84"/>
        <v>90.8</v>
      </c>
      <c r="S54" s="1">
        <f t="shared" si="85"/>
        <v>100</v>
      </c>
      <c r="T54" s="1">
        <f t="shared" si="133"/>
        <v>0</v>
      </c>
      <c r="U54" s="1">
        <f t="shared" si="87"/>
        <v>101.4</v>
      </c>
      <c r="V54" s="1">
        <f t="shared" si="88"/>
        <v>101.4</v>
      </c>
      <c r="W54" s="1">
        <f t="shared" si="89"/>
        <v>0</v>
      </c>
      <c r="X54" s="1">
        <f>IF(ISNA(VLOOKUP($CZ54,'Audit Values'!$A$2:$AE$439,2,FALSE)),'Preliminary SO66'!D51,VLOOKUP($CZ54,'Audit Values'!$A$2:$AE$439,4,FALSE))</f>
        <v>0</v>
      </c>
      <c r="Y54" s="1">
        <f>ROUND((X54/6)*Weightings!$M$6,1)</f>
        <v>0</v>
      </c>
      <c r="Z54" s="1">
        <f>IF(ISNA(VLOOKUP($CZ54,'Audit Values'!$A$2:$AE$439,2,FALSE)),'Preliminary SO66'!F51,VLOOKUP($CZ54,'Audit Values'!$A$2:$AE$439,6,FALSE))</f>
        <v>22.6</v>
      </c>
      <c r="AA54" s="1">
        <f>ROUND((Z54/6)*Weightings!$M$7,1)</f>
        <v>1.5</v>
      </c>
      <c r="AB54" s="2">
        <f>IF(ISNA(VLOOKUP($CZ54,'Audit Values'!$A$2:$AE$439,2,FALSE)),'Preliminary SO66'!H51,VLOOKUP($CZ54,'Audit Values'!$A$2:$AE$439,8,FALSE))</f>
        <v>21</v>
      </c>
      <c r="AC54" s="1">
        <f>ROUND(AB54*Weightings!$M$8,1)</f>
        <v>9.6</v>
      </c>
      <c r="AD54" s="1">
        <f t="shared" si="117"/>
        <v>0</v>
      </c>
      <c r="AE54" s="185">
        <v>10</v>
      </c>
      <c r="AF54" s="1">
        <f>AE54*Weightings!$M$9</f>
        <v>0.5</v>
      </c>
      <c r="AG54" s="1">
        <f>IF(ISNA(VLOOKUP($CZ54,'Audit Values'!$A$2:$AE$439,2,FALSE)),'Preliminary SO66'!L51,VLOOKUP($CZ54,'Audit Values'!$A$2:$AE$439,12,FALSE))</f>
        <v>0</v>
      </c>
      <c r="AH54" s="1">
        <f>ROUND(AG54*Weightings!$M$10,1)</f>
        <v>0</v>
      </c>
      <c r="AI54" s="1">
        <f>IF(ISNA(VLOOKUP($CZ54,'Audit Values'!$A$2:$AE$439,2,FALSE)),'Preliminary SO66'!O51,VLOOKUP($CZ54,'Audit Values'!$A$2:$AE$439,15,FALSE))</f>
        <v>34</v>
      </c>
      <c r="AJ54" s="1">
        <f t="shared" si="90"/>
        <v>13.9</v>
      </c>
      <c r="AK54" s="1">
        <f>CC54/Weightings!$M$5</f>
        <v>0</v>
      </c>
      <c r="AL54" s="1">
        <f>CD54/Weightings!$M$5</f>
        <v>0</v>
      </c>
      <c r="AM54" s="1">
        <f>CH54/Weightings!$M$5</f>
        <v>0</v>
      </c>
      <c r="AN54" s="1">
        <f t="shared" si="118"/>
        <v>0</v>
      </c>
      <c r="AO54" s="1">
        <f>IF(ISNA(VLOOKUP($CZ54,'Audit Values'!$A$2:$AE$439,2,FALSE)),'Preliminary SO66'!X51,VLOOKUP($CZ54,'Audit Values'!$A$2:$AE$439,24,FALSE))</f>
        <v>0</v>
      </c>
      <c r="AP54" s="188">
        <v>105177</v>
      </c>
      <c r="AQ54" s="113">
        <f>AP54/Weightings!$M$5</f>
        <v>27.4</v>
      </c>
      <c r="AR54" s="113">
        <f t="shared" si="91"/>
        <v>226.9</v>
      </c>
      <c r="AS54" s="1">
        <f t="shared" si="92"/>
        <v>254.3</v>
      </c>
      <c r="AT54" s="1">
        <f t="shared" si="93"/>
        <v>254.3</v>
      </c>
      <c r="AU54" s="2">
        <f t="shared" si="119"/>
        <v>0</v>
      </c>
      <c r="AV54" s="82">
        <f>IF(ISNA(VLOOKUP($CZ54,'Audit Values'!$A$2:$AC$360,2,FALSE)),"",IF(AND(Weightings!H54&gt;0,VLOOKUP($CZ54,'Audit Values'!$A$2:$AC$360,29,FALSE)&lt;Weightings!H54),Weightings!H54,VLOOKUP($CZ54,'Audit Values'!$A$2:$AC$360,29,FALSE)))</f>
        <v>18</v>
      </c>
      <c r="AW54" s="82" t="str">
        <f>IF(ISNA(VLOOKUP($CZ54,'Audit Values'!$A$2:$AD$360,2,FALSE)),"",VLOOKUP($CZ54,'Audit Values'!$A$2:$AD$360,30,FALSE))</f>
        <v>A</v>
      </c>
      <c r="AX54" s="82" t="str">
        <f>IF(Weightings!G54="","",IF(Weightings!I54="Pending","PX","R"))</f>
        <v/>
      </c>
      <c r="AY54" s="114">
        <f>AR54*Weightings!$M$5+AU54</f>
        <v>870842</v>
      </c>
      <c r="AZ54" s="2">
        <f>AT54*Weightings!$M$5+AU54</f>
        <v>976003</v>
      </c>
      <c r="BA54" s="2">
        <f>IF(Weightings!G54&gt;0,Weightings!G54,'Preliminary SO66'!AB51)</f>
        <v>997112</v>
      </c>
      <c r="BB54" s="2">
        <f t="shared" si="94"/>
        <v>976003</v>
      </c>
      <c r="BC54" s="124"/>
      <c r="BD54" s="124">
        <f>Weightings!E54</f>
        <v>0</v>
      </c>
      <c r="BE54" s="124">
        <f>Weightings!F54</f>
        <v>0</v>
      </c>
      <c r="BF54" s="2">
        <f t="shared" si="95"/>
        <v>0</v>
      </c>
      <c r="BG54" s="2">
        <f t="shared" si="96"/>
        <v>976003</v>
      </c>
      <c r="BH54" s="2">
        <f>MAX(ROUND(((AR54-AO54)*4433)+AP54,0),ROUND(((AR54-AO54)*4433)+Weightings!B54,0))</f>
        <v>1111025</v>
      </c>
      <c r="BI54" s="174">
        <v>0.3</v>
      </c>
      <c r="BJ54" s="2">
        <f t="shared" si="134"/>
        <v>333308</v>
      </c>
      <c r="BK54" s="173">
        <v>340339</v>
      </c>
      <c r="BL54" s="2">
        <f t="shared" si="98"/>
        <v>333308</v>
      </c>
      <c r="BM54" s="3">
        <f t="shared" si="120"/>
        <v>0.3</v>
      </c>
      <c r="BN54" s="1">
        <f t="shared" si="99"/>
        <v>0</v>
      </c>
      <c r="BO54" s="4" t="b">
        <f t="shared" si="100"/>
        <v>1</v>
      </c>
      <c r="BP54" s="5">
        <f t="shared" si="101"/>
        <v>0</v>
      </c>
      <c r="BQ54" s="6">
        <f t="shared" si="102"/>
        <v>1.0143310000000001</v>
      </c>
      <c r="BR54" s="4">
        <f t="shared" si="103"/>
        <v>101.4</v>
      </c>
      <c r="BS54" s="4" t="b">
        <f t="shared" si="104"/>
        <v>0</v>
      </c>
      <c r="BT54" s="4">
        <f t="shared" si="105"/>
        <v>0</v>
      </c>
      <c r="BU54" s="6">
        <f t="shared" si="106"/>
        <v>0</v>
      </c>
      <c r="BV54" s="1">
        <f t="shared" si="107"/>
        <v>0</v>
      </c>
      <c r="BW54" s="1">
        <f t="shared" si="108"/>
        <v>0</v>
      </c>
      <c r="BX54" s="116">
        <v>243</v>
      </c>
      <c r="BY54" s="7">
        <f t="shared" si="121"/>
        <v>0.14000000000000001</v>
      </c>
      <c r="BZ54" s="7">
        <f>IF(ROUND((Weightings!$P$5*BY54^Weightings!$P$6*Weightings!$P$8 ),2)&lt;Weightings!$P$7,Weightings!$P$7,ROUND((Weightings!$P$5*BY54^Weightings!$P$6*Weightings!$P$8 ),2))</f>
        <v>1569.43</v>
      </c>
      <c r="CA54" s="8">
        <f>ROUND(BZ54/Weightings!$M$5,4)</f>
        <v>0.40889999999999999</v>
      </c>
      <c r="CB54" s="1">
        <f t="shared" si="122"/>
        <v>13.9</v>
      </c>
      <c r="CC54" s="173">
        <v>0</v>
      </c>
      <c r="CD54" s="173">
        <v>0</v>
      </c>
      <c r="CE54" s="173">
        <v>0</v>
      </c>
      <c r="CF54" s="177">
        <v>0</v>
      </c>
      <c r="CG54" s="2">
        <f>AS54*Weightings!$M$5*CF54</f>
        <v>0</v>
      </c>
      <c r="CH54" s="2">
        <f t="shared" si="123"/>
        <v>0</v>
      </c>
      <c r="CI54" s="117">
        <f t="shared" si="111"/>
        <v>0.21</v>
      </c>
      <c r="CJ54" s="4">
        <f t="shared" si="112"/>
        <v>0.4</v>
      </c>
      <c r="CK54" s="1">
        <f t="shared" si="124"/>
        <v>0</v>
      </c>
      <c r="CL54" s="1">
        <f t="shared" si="125"/>
        <v>0</v>
      </c>
      <c r="CM54" s="1">
        <f t="shared" si="126"/>
        <v>0</v>
      </c>
      <c r="CN54" s="1">
        <f>IF(ISNA(VLOOKUP($CZ54,'Audit Values'!$A$2:$AE$439,2,FALSE)),'Preliminary SO66'!T51,VLOOKUP($CZ54,'Audit Values'!$A$2:$AE$439,20,FALSE))</f>
        <v>0</v>
      </c>
      <c r="CO54" s="1">
        <f t="shared" si="127"/>
        <v>0</v>
      </c>
      <c r="CP54" s="183">
        <v>0</v>
      </c>
      <c r="CQ54" s="1">
        <f t="shared" si="128"/>
        <v>0</v>
      </c>
      <c r="CR54" s="2">
        <f>IF(ISNA(VLOOKUP($CZ54,'Audit Values'!$A$2:$AE$439,2,FALSE)),'Preliminary SO66'!V51,VLOOKUP($CZ54,'Audit Values'!$A$2:$AE$439,22,FALSE))</f>
        <v>0</v>
      </c>
      <c r="CS54" s="1">
        <f t="shared" si="129"/>
        <v>0</v>
      </c>
      <c r="CT54" s="2">
        <f>IF(ISNA(VLOOKUP($CZ54,'Audit Values'!$A$2:$AE$439,2,FALSE)),'Preliminary SO66'!W51,VLOOKUP($CZ54,'Audit Values'!$A$2:$AE$439,23,FALSE))</f>
        <v>0</v>
      </c>
      <c r="CU54" s="1">
        <f t="shared" si="138"/>
        <v>0</v>
      </c>
      <c r="CV54" s="1">
        <f t="shared" si="139"/>
        <v>0</v>
      </c>
      <c r="CW54" s="176">
        <v>0</v>
      </c>
      <c r="CX54" s="2">
        <f>IF(CW54&gt;0,Weightings!$M$11*AR54,0)</f>
        <v>0</v>
      </c>
      <c r="CY54" s="2">
        <f t="shared" si="130"/>
        <v>0</v>
      </c>
      <c r="CZ54" s="108" t="s">
        <v>346</v>
      </c>
    </row>
    <row r="55" spans="1:104">
      <c r="A55" s="82">
        <v>243</v>
      </c>
      <c r="B55" s="4" t="s">
        <v>29</v>
      </c>
      <c r="C55" s="4" t="s">
        <v>682</v>
      </c>
      <c r="D55" s="1">
        <v>495.7</v>
      </c>
      <c r="E55" s="1">
        <v>0</v>
      </c>
      <c r="F55" s="1">
        <f t="shared" si="135"/>
        <v>495.7</v>
      </c>
      <c r="G55" s="1">
        <v>485.5</v>
      </c>
      <c r="H55" s="1">
        <v>0</v>
      </c>
      <c r="I55" s="1">
        <f t="shared" si="116"/>
        <v>485.5</v>
      </c>
      <c r="J55" s="1">
        <f t="shared" si="79"/>
        <v>492.7</v>
      </c>
      <c r="K55" s="1">
        <f>IF(ISNA(VLOOKUP($CZ55,'Audit Values'!$A$2:$AE$439,2,FALSE)),'Preliminary SO66'!B52,VLOOKUP($CZ55,'Audit Values'!$A$2:$AE$439,31,FALSE))</f>
        <v>491</v>
      </c>
      <c r="L55" s="1">
        <f t="shared" si="80"/>
        <v>491</v>
      </c>
      <c r="M55" s="1">
        <f>IF(ISNA(VLOOKUP($CZ55,'Audit Values'!$A$2:$AE$439,2,FALSE)),'Preliminary SO66'!Z52,VLOOKUP($CZ55,'Audit Values'!$A$2:$AE$439,26,FALSE))</f>
        <v>0</v>
      </c>
      <c r="N55" s="1">
        <f t="shared" si="81"/>
        <v>491</v>
      </c>
      <c r="O55" s="1">
        <f>IF(ISNA(VLOOKUP($CZ55,'Audit Values'!$A$2:$AE$439,2,FALSE)),'Preliminary SO66'!C52,IF(VLOOKUP($CZ55,'Audit Values'!$A$2:$AE$439,28,FALSE)="",VLOOKUP($CZ55,'Audit Values'!$A$2:$AE$439,3,FALSE),VLOOKUP($CZ55,'Audit Values'!$A$2:$AE$439,28,FALSE)))</f>
        <v>0</v>
      </c>
      <c r="P55" s="109">
        <f t="shared" si="82"/>
        <v>491</v>
      </c>
      <c r="Q55" s="110">
        <f t="shared" si="83"/>
        <v>492.7</v>
      </c>
      <c r="R55" s="111">
        <f t="shared" si="84"/>
        <v>492.7</v>
      </c>
      <c r="S55" s="1">
        <f t="shared" si="85"/>
        <v>491</v>
      </c>
      <c r="T55" s="1">
        <f t="shared" si="133"/>
        <v>1.7</v>
      </c>
      <c r="U55" s="1">
        <f t="shared" si="87"/>
        <v>205.9</v>
      </c>
      <c r="V55" s="1">
        <f t="shared" si="88"/>
        <v>205.9</v>
      </c>
      <c r="W55" s="1">
        <f t="shared" si="89"/>
        <v>0</v>
      </c>
      <c r="X55" s="1">
        <f>IF(ISNA(VLOOKUP($CZ55,'Audit Values'!$A$2:$AE$439,2,FALSE)),'Preliminary SO66'!D52,VLOOKUP($CZ55,'Audit Values'!$A$2:$AE$439,4,FALSE))</f>
        <v>171.2</v>
      </c>
      <c r="Y55" s="1">
        <f>ROUND((X55/6)*Weightings!$M$6,1)</f>
        <v>14.3</v>
      </c>
      <c r="Z55" s="1">
        <f>IF(ISNA(VLOOKUP($CZ55,'Audit Values'!$A$2:$AE$439,2,FALSE)),'Preliminary SO66'!F52,VLOOKUP($CZ55,'Audit Values'!$A$2:$AE$439,6,FALSE))</f>
        <v>0</v>
      </c>
      <c r="AA55" s="1">
        <f>ROUND((Z55/6)*Weightings!$M$7,1)</f>
        <v>0</v>
      </c>
      <c r="AB55" s="2">
        <f>IF(ISNA(VLOOKUP($CZ55,'Audit Values'!$A$2:$AE$439,2,FALSE)),'Preliminary SO66'!H52,VLOOKUP($CZ55,'Audit Values'!$A$2:$AE$439,8,FALSE))</f>
        <v>170</v>
      </c>
      <c r="AC55" s="1">
        <f>ROUND(AB55*Weightings!$M$8,1)</f>
        <v>77.5</v>
      </c>
      <c r="AD55" s="1">
        <f t="shared" si="117"/>
        <v>0</v>
      </c>
      <c r="AE55" s="185">
        <v>36</v>
      </c>
      <c r="AF55" s="1">
        <f>AE55*Weightings!$M$9</f>
        <v>1.7</v>
      </c>
      <c r="AG55" s="1">
        <f>IF(ISNA(VLOOKUP($CZ55,'Audit Values'!$A$2:$AE$439,2,FALSE)),'Preliminary SO66'!L52,VLOOKUP($CZ55,'Audit Values'!$A$2:$AE$439,12,FALSE))</f>
        <v>0</v>
      </c>
      <c r="AH55" s="1">
        <f>ROUND(AG55*Weightings!$M$10,1)</f>
        <v>0</v>
      </c>
      <c r="AI55" s="1">
        <f>IF(ISNA(VLOOKUP($CZ55,'Audit Values'!$A$2:$AE$439,2,FALSE)),'Preliminary SO66'!O52,VLOOKUP($CZ55,'Audit Values'!$A$2:$AE$439,15,FALSE))</f>
        <v>122</v>
      </c>
      <c r="AJ55" s="1">
        <f t="shared" si="90"/>
        <v>37.5</v>
      </c>
      <c r="AK55" s="1">
        <f>CC55/Weightings!$M$5</f>
        <v>0</v>
      </c>
      <c r="AL55" s="1">
        <f>CD55/Weightings!$M$5</f>
        <v>0</v>
      </c>
      <c r="AM55" s="1">
        <f>CH55/Weightings!$M$5</f>
        <v>0</v>
      </c>
      <c r="AN55" s="1">
        <f t="shared" si="118"/>
        <v>1.8</v>
      </c>
      <c r="AO55" s="1">
        <f>IF(ISNA(VLOOKUP($CZ55,'Audit Values'!$A$2:$AE$439,2,FALSE)),'Preliminary SO66'!X52,VLOOKUP($CZ55,'Audit Values'!$A$2:$AE$439,24,FALSE))</f>
        <v>0</v>
      </c>
      <c r="AP55" s="188">
        <v>598979</v>
      </c>
      <c r="AQ55" s="113">
        <f>AP55/Weightings!$M$5</f>
        <v>156.1</v>
      </c>
      <c r="AR55" s="113">
        <f t="shared" si="91"/>
        <v>829.7</v>
      </c>
      <c r="AS55" s="1">
        <f t="shared" si="92"/>
        <v>985.8</v>
      </c>
      <c r="AT55" s="1">
        <f t="shared" si="93"/>
        <v>985.8</v>
      </c>
      <c r="AU55" s="2">
        <f t="shared" si="119"/>
        <v>0</v>
      </c>
      <c r="AV55" s="82">
        <f>IF(ISNA(VLOOKUP($CZ55,'Audit Values'!$A$2:$AC$360,2,FALSE)),"",IF(AND(Weightings!H55&gt;0,VLOOKUP($CZ55,'Audit Values'!$A$2:$AC$360,29,FALSE)&lt;Weightings!H55),Weightings!H55,VLOOKUP($CZ55,'Audit Values'!$A$2:$AC$360,29,FALSE)))</f>
        <v>11</v>
      </c>
      <c r="AW55" s="82" t="str">
        <f>IF(ISNA(VLOOKUP($CZ55,'Audit Values'!$A$2:$AD$360,2,FALSE)),"",VLOOKUP($CZ55,'Audit Values'!$A$2:$AD$360,30,FALSE))</f>
        <v>A</v>
      </c>
      <c r="AX55" s="82" t="str">
        <f>IF(Weightings!G55="","",IF(Weightings!I55="Pending","PX","R"))</f>
        <v/>
      </c>
      <c r="AY55" s="114">
        <f>AR55*Weightings!$M$5+AU55</f>
        <v>3184389</v>
      </c>
      <c r="AZ55" s="2">
        <f>AT55*Weightings!$M$5+AU55</f>
        <v>3783500</v>
      </c>
      <c r="BA55" s="2">
        <f>IF(Weightings!G55&gt;0,Weightings!G55,'Preliminary SO66'!AB52)</f>
        <v>3810750</v>
      </c>
      <c r="BB55" s="2">
        <f t="shared" si="94"/>
        <v>3783500</v>
      </c>
      <c r="BC55" s="124"/>
      <c r="BD55" s="124">
        <f>Weightings!E55</f>
        <v>-3481</v>
      </c>
      <c r="BE55" s="124">
        <f>Weightings!F55</f>
        <v>0</v>
      </c>
      <c r="BF55" s="2">
        <f t="shared" si="95"/>
        <v>-3481</v>
      </c>
      <c r="BG55" s="2">
        <f t="shared" si="96"/>
        <v>3780019</v>
      </c>
      <c r="BH55" s="2">
        <f>MAX(ROUND(((AR55-AO55)*4433)+AP55,0),ROUND(((AR55-AO55)*4433)+Weightings!B55,0))</f>
        <v>4277039</v>
      </c>
      <c r="BI55" s="174">
        <v>0.3</v>
      </c>
      <c r="BJ55" s="2">
        <f t="shared" si="134"/>
        <v>1283112</v>
      </c>
      <c r="BK55" s="173">
        <v>1165000</v>
      </c>
      <c r="BL55" s="2">
        <f t="shared" si="98"/>
        <v>1165000</v>
      </c>
      <c r="BM55" s="3">
        <f t="shared" si="120"/>
        <v>0.27239999999999998</v>
      </c>
      <c r="BN55" s="1">
        <f t="shared" si="99"/>
        <v>0</v>
      </c>
      <c r="BO55" s="4" t="b">
        <f t="shared" si="100"/>
        <v>0</v>
      </c>
      <c r="BP55" s="5">
        <f t="shared" si="101"/>
        <v>0</v>
      </c>
      <c r="BQ55" s="6">
        <f t="shared" si="102"/>
        <v>0</v>
      </c>
      <c r="BR55" s="4">
        <f t="shared" si="103"/>
        <v>0</v>
      </c>
      <c r="BS55" s="4" t="b">
        <f t="shared" si="104"/>
        <v>1</v>
      </c>
      <c r="BT55" s="4">
        <f t="shared" si="105"/>
        <v>236.36250000000001</v>
      </c>
      <c r="BU55" s="6">
        <f t="shared" si="106"/>
        <v>0.419294</v>
      </c>
      <c r="BV55" s="1">
        <f t="shared" si="107"/>
        <v>205.9</v>
      </c>
      <c r="BW55" s="1">
        <f t="shared" si="108"/>
        <v>0</v>
      </c>
      <c r="BX55" s="116">
        <v>248</v>
      </c>
      <c r="BY55" s="7">
        <f t="shared" si="121"/>
        <v>0.49</v>
      </c>
      <c r="BZ55" s="7">
        <f>IF(ROUND((Weightings!$P$5*BY55^Weightings!$P$6*Weightings!$P$8 ),2)&lt;Weightings!$P$7,Weightings!$P$7,ROUND((Weightings!$P$5*BY55^Weightings!$P$6*Weightings!$P$8 ),2))</f>
        <v>1179.3399999999999</v>
      </c>
      <c r="CA55" s="8">
        <f>ROUND(BZ55/Weightings!$M$5,4)</f>
        <v>0.30730000000000002</v>
      </c>
      <c r="CB55" s="1">
        <f t="shared" si="122"/>
        <v>37.5</v>
      </c>
      <c r="CC55" s="173">
        <v>0</v>
      </c>
      <c r="CD55" s="173">
        <v>0</v>
      </c>
      <c r="CE55" s="173">
        <v>0</v>
      </c>
      <c r="CF55" s="177">
        <v>0</v>
      </c>
      <c r="CG55" s="2">
        <f>AS55*Weightings!$M$5*CF55</f>
        <v>0</v>
      </c>
      <c r="CH55" s="2">
        <f t="shared" si="123"/>
        <v>0</v>
      </c>
      <c r="CI55" s="117">
        <f t="shared" si="111"/>
        <v>0.34599999999999997</v>
      </c>
      <c r="CJ55" s="4">
        <f t="shared" si="112"/>
        <v>2</v>
      </c>
      <c r="CK55" s="1">
        <f t="shared" si="124"/>
        <v>0</v>
      </c>
      <c r="CL55" s="1">
        <f t="shared" si="125"/>
        <v>0</v>
      </c>
      <c r="CM55" s="1">
        <f t="shared" si="126"/>
        <v>0</v>
      </c>
      <c r="CN55" s="1">
        <f>IF(ISNA(VLOOKUP($CZ55,'Audit Values'!$A$2:$AE$439,2,FALSE)),'Preliminary SO66'!T52,VLOOKUP($CZ55,'Audit Values'!$A$2:$AE$439,20,FALSE))</f>
        <v>1.7</v>
      </c>
      <c r="CO55" s="1">
        <f t="shared" si="127"/>
        <v>1.8</v>
      </c>
      <c r="CP55" s="183">
        <v>0</v>
      </c>
      <c r="CQ55" s="1">
        <f t="shared" si="128"/>
        <v>0</v>
      </c>
      <c r="CR55" s="2">
        <f>IF(ISNA(VLOOKUP($CZ55,'Audit Values'!$A$2:$AE$439,2,FALSE)),'Preliminary SO66'!V52,VLOOKUP($CZ55,'Audit Values'!$A$2:$AE$439,22,FALSE))</f>
        <v>0</v>
      </c>
      <c r="CS55" s="1">
        <f t="shared" si="129"/>
        <v>0</v>
      </c>
      <c r="CT55" s="2">
        <f>IF(ISNA(VLOOKUP($CZ55,'Audit Values'!$A$2:$AE$439,2,FALSE)),'Preliminary SO66'!W52,VLOOKUP($CZ55,'Audit Values'!$A$2:$AE$439,23,FALSE))</f>
        <v>0</v>
      </c>
      <c r="CU55" s="1">
        <f t="shared" si="138"/>
        <v>0</v>
      </c>
      <c r="CV55" s="1">
        <f t="shared" si="139"/>
        <v>1.8</v>
      </c>
      <c r="CW55" s="176">
        <v>0</v>
      </c>
      <c r="CX55" s="2">
        <f>IF(CW55&gt;0,Weightings!$M$11*AR55,0)</f>
        <v>0</v>
      </c>
      <c r="CY55" s="2">
        <f t="shared" si="130"/>
        <v>0</v>
      </c>
      <c r="CZ55" s="108" t="s">
        <v>347</v>
      </c>
    </row>
    <row r="56" spans="1:104">
      <c r="A56" s="82">
        <v>244</v>
      </c>
      <c r="B56" s="4" t="s">
        <v>29</v>
      </c>
      <c r="C56" s="4" t="s">
        <v>683</v>
      </c>
      <c r="D56" s="1">
        <v>819.7</v>
      </c>
      <c r="E56" s="1">
        <v>0</v>
      </c>
      <c r="F56" s="1">
        <f t="shared" si="135"/>
        <v>819.7</v>
      </c>
      <c r="G56" s="1">
        <v>797.7</v>
      </c>
      <c r="H56" s="1">
        <v>0</v>
      </c>
      <c r="I56" s="1">
        <f t="shared" si="116"/>
        <v>797.7</v>
      </c>
      <c r="J56" s="1">
        <f t="shared" si="79"/>
        <v>810.7</v>
      </c>
      <c r="K56" s="1">
        <f>IF(ISNA(VLOOKUP($CZ56,'Audit Values'!$A$2:$AE$439,2,FALSE)),'Preliminary SO66'!B53,VLOOKUP($CZ56,'Audit Values'!$A$2:$AE$439,31,FALSE))</f>
        <v>810.7</v>
      </c>
      <c r="L56" s="1">
        <f t="shared" si="80"/>
        <v>810.7</v>
      </c>
      <c r="M56" s="1">
        <f>IF(ISNA(VLOOKUP($CZ56,'Audit Values'!$A$2:$AE$439,2,FALSE)),'Preliminary SO66'!Z53,VLOOKUP($CZ56,'Audit Values'!$A$2:$AE$439,26,FALSE))</f>
        <v>0</v>
      </c>
      <c r="N56" s="1">
        <f t="shared" si="81"/>
        <v>810.7</v>
      </c>
      <c r="O56" s="1">
        <f>IF(ISNA(VLOOKUP($CZ56,'Audit Values'!$A$2:$AE$439,2,FALSE)),'Preliminary SO66'!C53,IF(VLOOKUP($CZ56,'Audit Values'!$A$2:$AE$439,28,FALSE)="",VLOOKUP($CZ56,'Audit Values'!$A$2:$AE$439,3,FALSE),VLOOKUP($CZ56,'Audit Values'!$A$2:$AE$439,28,FALSE)))</f>
        <v>4.5</v>
      </c>
      <c r="P56" s="109">
        <f t="shared" si="82"/>
        <v>815.2</v>
      </c>
      <c r="Q56" s="110">
        <f t="shared" si="83"/>
        <v>815.2</v>
      </c>
      <c r="R56" s="111">
        <f t="shared" si="84"/>
        <v>815.2</v>
      </c>
      <c r="S56" s="1">
        <f t="shared" si="85"/>
        <v>815.2</v>
      </c>
      <c r="T56" s="1">
        <f t="shared" si="133"/>
        <v>0</v>
      </c>
      <c r="U56" s="1">
        <f t="shared" si="87"/>
        <v>252</v>
      </c>
      <c r="V56" s="1">
        <f t="shared" si="88"/>
        <v>252</v>
      </c>
      <c r="W56" s="1">
        <f t="shared" si="89"/>
        <v>0</v>
      </c>
      <c r="X56" s="1">
        <f>IF(ISNA(VLOOKUP($CZ56,'Audit Values'!$A$2:$AE$439,2,FALSE)),'Preliminary SO66'!D53,VLOOKUP($CZ56,'Audit Values'!$A$2:$AE$439,4,FALSE))</f>
        <v>239.9</v>
      </c>
      <c r="Y56" s="1">
        <f>ROUND((X56/6)*Weightings!$M$6,1)</f>
        <v>20</v>
      </c>
      <c r="Z56" s="1">
        <f>IF(ISNA(VLOOKUP($CZ56,'Audit Values'!$A$2:$AE$439,2,FALSE)),'Preliminary SO66'!F53,VLOOKUP($CZ56,'Audit Values'!$A$2:$AE$439,6,FALSE))</f>
        <v>2.5</v>
      </c>
      <c r="AA56" s="1">
        <f>ROUND((Z56/6)*Weightings!$M$7,1)</f>
        <v>0.2</v>
      </c>
      <c r="AB56" s="2">
        <f>IF(ISNA(VLOOKUP($CZ56,'Audit Values'!$A$2:$AE$439,2,FALSE)),'Preliminary SO66'!H53,VLOOKUP($CZ56,'Audit Values'!$A$2:$AE$439,8,FALSE))</f>
        <v>221</v>
      </c>
      <c r="AC56" s="1">
        <f>ROUND(AB56*Weightings!$M$8,1)</f>
        <v>100.8</v>
      </c>
      <c r="AD56" s="1">
        <f t="shared" si="117"/>
        <v>0</v>
      </c>
      <c r="AE56" s="185">
        <v>44</v>
      </c>
      <c r="AF56" s="1">
        <f>AE56*Weightings!$M$9</f>
        <v>2</v>
      </c>
      <c r="AG56" s="1">
        <f>IF(ISNA(VLOOKUP($CZ56,'Audit Values'!$A$2:$AE$439,2,FALSE)),'Preliminary SO66'!L53,VLOOKUP($CZ56,'Audit Values'!$A$2:$AE$439,12,FALSE))</f>
        <v>0</v>
      </c>
      <c r="AH56" s="1">
        <f>ROUND(AG56*Weightings!$M$10,1)</f>
        <v>0</v>
      </c>
      <c r="AI56" s="1">
        <f>IF(ISNA(VLOOKUP($CZ56,'Audit Values'!$A$2:$AE$439,2,FALSE)),'Preliminary SO66'!O53,VLOOKUP($CZ56,'Audit Values'!$A$2:$AE$439,15,FALSE))</f>
        <v>230</v>
      </c>
      <c r="AJ56" s="1">
        <f t="shared" si="90"/>
        <v>54.3</v>
      </c>
      <c r="AK56" s="1">
        <f>CC56/Weightings!$M$5</f>
        <v>0</v>
      </c>
      <c r="AL56" s="1">
        <f>CD56/Weightings!$M$5</f>
        <v>0</v>
      </c>
      <c r="AM56" s="1">
        <f>CH56/Weightings!$M$5</f>
        <v>0</v>
      </c>
      <c r="AN56" s="1">
        <f t="shared" si="118"/>
        <v>0</v>
      </c>
      <c r="AO56" s="1">
        <f>IF(ISNA(VLOOKUP($CZ56,'Audit Values'!$A$2:$AE$439,2,FALSE)),'Preliminary SO66'!X53,VLOOKUP($CZ56,'Audit Values'!$A$2:$AE$439,24,FALSE))</f>
        <v>0</v>
      </c>
      <c r="AP56" s="188">
        <v>1222580.0000000002</v>
      </c>
      <c r="AQ56" s="113">
        <f>AP56/Weightings!$M$5</f>
        <v>318.5</v>
      </c>
      <c r="AR56" s="113">
        <f t="shared" si="91"/>
        <v>1244.5</v>
      </c>
      <c r="AS56" s="1">
        <f t="shared" si="92"/>
        <v>1563</v>
      </c>
      <c r="AT56" s="1">
        <f t="shared" si="93"/>
        <v>1563</v>
      </c>
      <c r="AU56" s="2">
        <f t="shared" si="119"/>
        <v>0</v>
      </c>
      <c r="AV56" s="82">
        <f>IF(ISNA(VLOOKUP($CZ56,'Audit Values'!$A$2:$AC$360,2,FALSE)),"",IF(AND(Weightings!H56&gt;0,VLOOKUP($CZ56,'Audit Values'!$A$2:$AC$360,29,FALSE)&lt;Weightings!H56),Weightings!H56,VLOOKUP($CZ56,'Audit Values'!$A$2:$AC$360,29,FALSE)))</f>
        <v>11</v>
      </c>
      <c r="AW56" s="82" t="str">
        <f>IF(ISNA(VLOOKUP($CZ56,'Audit Values'!$A$2:$AD$360,2,FALSE)),"",VLOOKUP($CZ56,'Audit Values'!$A$2:$AD$360,30,FALSE))</f>
        <v>A</v>
      </c>
      <c r="AX56" s="82" t="str">
        <f>IF(Weightings!G56="","",IF(Weightings!I56="Pending","PX","R"))</f>
        <v/>
      </c>
      <c r="AY56" s="114">
        <f>AR56*Weightings!$M$5+AU56</f>
        <v>4776391</v>
      </c>
      <c r="AZ56" s="2">
        <f>AT56*Weightings!$M$5+AU56</f>
        <v>5998794</v>
      </c>
      <c r="BA56" s="2">
        <f>IF(Weightings!G56&gt;0,Weightings!G56,'Preliminary SO66'!AB53)</f>
        <v>6074786</v>
      </c>
      <c r="BB56" s="2">
        <f t="shared" si="94"/>
        <v>5998794</v>
      </c>
      <c r="BC56" s="124"/>
      <c r="BD56" s="124">
        <f>Weightings!E56</f>
        <v>0</v>
      </c>
      <c r="BE56" s="124">
        <f>Weightings!F56</f>
        <v>0</v>
      </c>
      <c r="BF56" s="2">
        <f t="shared" si="95"/>
        <v>0</v>
      </c>
      <c r="BG56" s="2">
        <f t="shared" si="96"/>
        <v>5998794</v>
      </c>
      <c r="BH56" s="2">
        <f>MAX(ROUND(((AR56-AO56)*4433)+AP56,0),ROUND(((AR56-AO56)*4433)+Weightings!B56,0))</f>
        <v>6817219</v>
      </c>
      <c r="BI56" s="174">
        <v>0.3</v>
      </c>
      <c r="BJ56" s="2">
        <f t="shared" si="134"/>
        <v>2045166</v>
      </c>
      <c r="BK56" s="173">
        <v>2056736</v>
      </c>
      <c r="BL56" s="2">
        <f t="shared" si="98"/>
        <v>2045166</v>
      </c>
      <c r="BM56" s="3">
        <f t="shared" si="120"/>
        <v>0.3</v>
      </c>
      <c r="BN56" s="1">
        <f t="shared" si="99"/>
        <v>0</v>
      </c>
      <c r="BO56" s="4" t="b">
        <f t="shared" si="100"/>
        <v>0</v>
      </c>
      <c r="BP56" s="5">
        <f t="shared" si="101"/>
        <v>0</v>
      </c>
      <c r="BQ56" s="6">
        <f t="shared" si="102"/>
        <v>0</v>
      </c>
      <c r="BR56" s="4">
        <f t="shared" si="103"/>
        <v>0</v>
      </c>
      <c r="BS56" s="4" t="b">
        <f t="shared" si="104"/>
        <v>1</v>
      </c>
      <c r="BT56" s="4">
        <f t="shared" si="105"/>
        <v>637.55999999999995</v>
      </c>
      <c r="BU56" s="6">
        <f t="shared" si="106"/>
        <v>0.30914799999999998</v>
      </c>
      <c r="BV56" s="1">
        <f t="shared" si="107"/>
        <v>252</v>
      </c>
      <c r="BW56" s="1">
        <f t="shared" si="108"/>
        <v>0</v>
      </c>
      <c r="BX56" s="116">
        <v>147</v>
      </c>
      <c r="BY56" s="7">
        <f t="shared" si="121"/>
        <v>1.56</v>
      </c>
      <c r="BZ56" s="7">
        <f>IF(ROUND((Weightings!$P$5*BY56^Weightings!$P$6*Weightings!$P$8 ),2)&lt;Weightings!$P$7,Weightings!$P$7,ROUND((Weightings!$P$5*BY56^Weightings!$P$6*Weightings!$P$8 ),2))</f>
        <v>905.57</v>
      </c>
      <c r="CA56" s="8">
        <f>ROUND(BZ56/Weightings!$M$5,4)</f>
        <v>0.2359</v>
      </c>
      <c r="CB56" s="1">
        <f t="shared" si="122"/>
        <v>54.3</v>
      </c>
      <c r="CC56" s="173">
        <v>0</v>
      </c>
      <c r="CD56" s="173">
        <v>0</v>
      </c>
      <c r="CE56" s="173">
        <v>0</v>
      </c>
      <c r="CF56" s="177">
        <v>0</v>
      </c>
      <c r="CG56" s="2">
        <f>AS56*Weightings!$M$5*CF56</f>
        <v>0</v>
      </c>
      <c r="CH56" s="2">
        <f t="shared" si="123"/>
        <v>0</v>
      </c>
      <c r="CI56" s="117">
        <f t="shared" si="111"/>
        <v>0.27100000000000002</v>
      </c>
      <c r="CJ56" s="4">
        <f t="shared" si="112"/>
        <v>5.5</v>
      </c>
      <c r="CK56" s="1">
        <f t="shared" si="124"/>
        <v>0</v>
      </c>
      <c r="CL56" s="1">
        <f t="shared" si="125"/>
        <v>0</v>
      </c>
      <c r="CM56" s="1">
        <f t="shared" si="126"/>
        <v>0</v>
      </c>
      <c r="CN56" s="1">
        <f>IF(ISNA(VLOOKUP($CZ56,'Audit Values'!$A$2:$AE$439,2,FALSE)),'Preliminary SO66'!T53,VLOOKUP($CZ56,'Audit Values'!$A$2:$AE$439,20,FALSE))</f>
        <v>0</v>
      </c>
      <c r="CO56" s="1">
        <f t="shared" si="127"/>
        <v>0</v>
      </c>
      <c r="CP56" s="183">
        <v>0</v>
      </c>
      <c r="CQ56" s="1">
        <f t="shared" si="128"/>
        <v>0</v>
      </c>
      <c r="CR56" s="2">
        <f>IF(ISNA(VLOOKUP($CZ56,'Audit Values'!$A$2:$AE$439,2,FALSE)),'Preliminary SO66'!V53,VLOOKUP($CZ56,'Audit Values'!$A$2:$AE$439,22,FALSE))</f>
        <v>0</v>
      </c>
      <c r="CS56" s="1">
        <f t="shared" si="129"/>
        <v>0</v>
      </c>
      <c r="CT56" s="2">
        <f>IF(ISNA(VLOOKUP($CZ56,'Audit Values'!$A$2:$AE$439,2,FALSE)),'Preliminary SO66'!W53,VLOOKUP($CZ56,'Audit Values'!$A$2:$AE$439,23,FALSE))</f>
        <v>0</v>
      </c>
      <c r="CU56" s="1">
        <f t="shared" si="138"/>
        <v>0</v>
      </c>
      <c r="CV56" s="1">
        <f t="shared" si="139"/>
        <v>0</v>
      </c>
      <c r="CW56" s="176">
        <v>0</v>
      </c>
      <c r="CX56" s="2">
        <f>IF(CW56&gt;0,Weightings!$M$11*AR56,0)</f>
        <v>0</v>
      </c>
      <c r="CY56" s="2">
        <f t="shared" si="130"/>
        <v>0</v>
      </c>
      <c r="CZ56" s="108" t="s">
        <v>348</v>
      </c>
    </row>
    <row r="57" spans="1:104">
      <c r="A57" s="82">
        <v>245</v>
      </c>
      <c r="B57" s="4" t="s">
        <v>29</v>
      </c>
      <c r="C57" s="4" t="s">
        <v>684</v>
      </c>
      <c r="D57" s="1">
        <v>208</v>
      </c>
      <c r="E57" s="1">
        <v>0</v>
      </c>
      <c r="F57" s="1">
        <f t="shared" si="135"/>
        <v>208</v>
      </c>
      <c r="G57" s="1">
        <v>213.9</v>
      </c>
      <c r="H57" s="1">
        <v>0</v>
      </c>
      <c r="I57" s="1">
        <f t="shared" si="116"/>
        <v>213.9</v>
      </c>
      <c r="J57" s="1">
        <f t="shared" si="79"/>
        <v>198</v>
      </c>
      <c r="K57" s="1">
        <f>IF(ISNA(VLOOKUP($CZ57,'Audit Values'!$A$2:$AE$439,2,FALSE)),'Preliminary SO66'!B54,VLOOKUP($CZ57,'Audit Values'!$A$2:$AE$439,31,FALSE))</f>
        <v>198</v>
      </c>
      <c r="L57" s="1">
        <f t="shared" si="80"/>
        <v>213.9</v>
      </c>
      <c r="M57" s="1">
        <f>IF(ISNA(VLOOKUP($CZ57,'Audit Values'!$A$2:$AE$439,2,FALSE)),'Preliminary SO66'!Z54,VLOOKUP($CZ57,'Audit Values'!$A$2:$AE$439,26,FALSE))</f>
        <v>0</v>
      </c>
      <c r="N57" s="1">
        <f t="shared" si="81"/>
        <v>213.9</v>
      </c>
      <c r="O57" s="1">
        <f>IF(ISNA(VLOOKUP($CZ57,'Audit Values'!$A$2:$AE$439,2,FALSE)),'Preliminary SO66'!C54,IF(VLOOKUP($CZ57,'Audit Values'!$A$2:$AE$439,28,FALSE)="",VLOOKUP($CZ57,'Audit Values'!$A$2:$AE$439,3,FALSE),VLOOKUP($CZ57,'Audit Values'!$A$2:$AE$439,28,FALSE)))</f>
        <v>0</v>
      </c>
      <c r="P57" s="109">
        <f t="shared" si="82"/>
        <v>198</v>
      </c>
      <c r="Q57" s="110">
        <f t="shared" si="83"/>
        <v>198</v>
      </c>
      <c r="R57" s="111">
        <f t="shared" si="84"/>
        <v>198</v>
      </c>
      <c r="S57" s="1">
        <f t="shared" si="85"/>
        <v>213.9</v>
      </c>
      <c r="T57" s="1">
        <f t="shared" si="133"/>
        <v>0</v>
      </c>
      <c r="U57" s="1">
        <f t="shared" si="87"/>
        <v>152.4</v>
      </c>
      <c r="V57" s="1">
        <f t="shared" si="88"/>
        <v>152.4</v>
      </c>
      <c r="W57" s="1">
        <f t="shared" si="89"/>
        <v>0</v>
      </c>
      <c r="X57" s="1">
        <f>IF(ISNA(VLOOKUP($CZ57,'Audit Values'!$A$2:$AE$439,2,FALSE)),'Preliminary SO66'!D54,VLOOKUP($CZ57,'Audit Values'!$A$2:$AE$439,4,FALSE))</f>
        <v>18.399999999999999</v>
      </c>
      <c r="Y57" s="1">
        <f>ROUND((X57/6)*Weightings!$M$6,1)</f>
        <v>1.5</v>
      </c>
      <c r="Z57" s="1">
        <f>IF(ISNA(VLOOKUP($CZ57,'Audit Values'!$A$2:$AE$439,2,FALSE)),'Preliminary SO66'!F54,VLOOKUP($CZ57,'Audit Values'!$A$2:$AE$439,6,FALSE))</f>
        <v>0</v>
      </c>
      <c r="AA57" s="1">
        <f>ROUND((Z57/6)*Weightings!$M$7,1)</f>
        <v>0</v>
      </c>
      <c r="AB57" s="2">
        <f>IF(ISNA(VLOOKUP($CZ57,'Audit Values'!$A$2:$AE$439,2,FALSE)),'Preliminary SO66'!H54,VLOOKUP($CZ57,'Audit Values'!$A$2:$AE$439,8,FALSE))</f>
        <v>73</v>
      </c>
      <c r="AC57" s="1">
        <f>ROUND(AB57*Weightings!$M$8,1)</f>
        <v>33.299999999999997</v>
      </c>
      <c r="AD57" s="1">
        <f t="shared" si="117"/>
        <v>0</v>
      </c>
      <c r="AE57" s="185">
        <v>18</v>
      </c>
      <c r="AF57" s="1">
        <f>AE57*Weightings!$M$9</f>
        <v>0.8</v>
      </c>
      <c r="AG57" s="1">
        <f>IF(ISNA(VLOOKUP($CZ57,'Audit Values'!$A$2:$AE$439,2,FALSE)),'Preliminary SO66'!L54,VLOOKUP($CZ57,'Audit Values'!$A$2:$AE$439,12,FALSE))</f>
        <v>0</v>
      </c>
      <c r="AH57" s="1">
        <f>ROUND(AG57*Weightings!$M$10,1)</f>
        <v>0</v>
      </c>
      <c r="AI57" s="1">
        <f>IF(ISNA(VLOOKUP($CZ57,'Audit Values'!$A$2:$AE$439,2,FALSE)),'Preliminary SO66'!O54,VLOOKUP($CZ57,'Audit Values'!$A$2:$AE$439,15,FALSE))</f>
        <v>105</v>
      </c>
      <c r="AJ57" s="1">
        <f t="shared" si="90"/>
        <v>32</v>
      </c>
      <c r="AK57" s="1">
        <f>CC57/Weightings!$M$5</f>
        <v>0</v>
      </c>
      <c r="AL57" s="1">
        <f>CD57/Weightings!$M$5</f>
        <v>0</v>
      </c>
      <c r="AM57" s="1">
        <f>CH57/Weightings!$M$5</f>
        <v>0</v>
      </c>
      <c r="AN57" s="1">
        <f t="shared" si="118"/>
        <v>0</v>
      </c>
      <c r="AO57" s="1">
        <f>IF(ISNA(VLOOKUP($CZ57,'Audit Values'!$A$2:$AE$439,2,FALSE)),'Preliminary SO66'!X54,VLOOKUP($CZ57,'Audit Values'!$A$2:$AE$439,24,FALSE))</f>
        <v>0</v>
      </c>
      <c r="AP57" s="188">
        <v>230302</v>
      </c>
      <c r="AQ57" s="113">
        <f>AP57/Weightings!$M$5</f>
        <v>60</v>
      </c>
      <c r="AR57" s="113">
        <f t="shared" si="91"/>
        <v>433.9</v>
      </c>
      <c r="AS57" s="1">
        <f t="shared" si="92"/>
        <v>493.9</v>
      </c>
      <c r="AT57" s="1">
        <f t="shared" si="93"/>
        <v>493.9</v>
      </c>
      <c r="AU57" s="2">
        <f t="shared" si="119"/>
        <v>0</v>
      </c>
      <c r="AV57" s="82">
        <f>IF(ISNA(VLOOKUP($CZ57,'Audit Values'!$A$2:$AC$360,2,FALSE)),"",IF(AND(Weightings!H57&gt;0,VLOOKUP($CZ57,'Audit Values'!$A$2:$AC$360,29,FALSE)&lt;Weightings!H57),Weightings!H57,VLOOKUP($CZ57,'Audit Values'!$A$2:$AC$360,29,FALSE)))</f>
        <v>11</v>
      </c>
      <c r="AW57" s="82" t="str">
        <f>IF(ISNA(VLOOKUP($CZ57,'Audit Values'!$A$2:$AD$360,2,FALSE)),"",VLOOKUP($CZ57,'Audit Values'!$A$2:$AD$360,30,FALSE))</f>
        <v>A</v>
      </c>
      <c r="AX57" s="82" t="str">
        <f>IF(Weightings!G57="","",IF(Weightings!I57="Pending","PX","R"))</f>
        <v/>
      </c>
      <c r="AY57" s="114">
        <f>AR57*Weightings!$M$5+AU57</f>
        <v>1665308</v>
      </c>
      <c r="AZ57" s="2">
        <f>AT57*Weightings!$M$5+AU57</f>
        <v>1895588</v>
      </c>
      <c r="BA57" s="2">
        <f>IF(Weightings!G57&gt;0,Weightings!G57,'Preliminary SO66'!AB54)</f>
        <v>1938958</v>
      </c>
      <c r="BB57" s="2">
        <f t="shared" si="94"/>
        <v>1895588</v>
      </c>
      <c r="BC57" s="124"/>
      <c r="BD57" s="124">
        <f>Weightings!E57</f>
        <v>-2398</v>
      </c>
      <c r="BE57" s="124">
        <f>Weightings!F57</f>
        <v>0</v>
      </c>
      <c r="BF57" s="2">
        <f t="shared" si="95"/>
        <v>-2398</v>
      </c>
      <c r="BG57" s="2">
        <f t="shared" si="96"/>
        <v>1893190</v>
      </c>
      <c r="BH57" s="2">
        <f>MAX(ROUND(((AR57-AO57)*4433)+AP57,0),ROUND(((AR57-AO57)*4433)+Weightings!B57,0))</f>
        <v>2224030</v>
      </c>
      <c r="BI57" s="174">
        <v>0.3</v>
      </c>
      <c r="BJ57" s="2">
        <f t="shared" si="134"/>
        <v>667209</v>
      </c>
      <c r="BK57" s="173">
        <v>676119</v>
      </c>
      <c r="BL57" s="2">
        <f t="shared" si="98"/>
        <v>667209</v>
      </c>
      <c r="BM57" s="3">
        <f t="shared" si="120"/>
        <v>0.3</v>
      </c>
      <c r="BN57" s="1">
        <f t="shared" si="99"/>
        <v>0</v>
      </c>
      <c r="BO57" s="4" t="b">
        <f t="shared" si="100"/>
        <v>1</v>
      </c>
      <c r="BP57" s="5">
        <f t="shared" si="101"/>
        <v>1099.7049999999999</v>
      </c>
      <c r="BQ57" s="6">
        <f t="shared" si="102"/>
        <v>0.71241399999999999</v>
      </c>
      <c r="BR57" s="4">
        <f t="shared" si="103"/>
        <v>152.4</v>
      </c>
      <c r="BS57" s="4" t="b">
        <f t="shared" si="104"/>
        <v>0</v>
      </c>
      <c r="BT57" s="4">
        <f t="shared" si="105"/>
        <v>0</v>
      </c>
      <c r="BU57" s="6">
        <f t="shared" si="106"/>
        <v>0</v>
      </c>
      <c r="BV57" s="1">
        <f t="shared" si="107"/>
        <v>0</v>
      </c>
      <c r="BW57" s="1">
        <f t="shared" si="108"/>
        <v>0</v>
      </c>
      <c r="BX57" s="116">
        <v>207</v>
      </c>
      <c r="BY57" s="7">
        <f t="shared" si="121"/>
        <v>0.51</v>
      </c>
      <c r="BZ57" s="7">
        <f>IF(ROUND((Weightings!$P$5*BY57^Weightings!$P$6*Weightings!$P$8 ),2)&lt;Weightings!$P$7,Weightings!$P$7,ROUND((Weightings!$P$5*BY57^Weightings!$P$6*Weightings!$P$8 ),2))</f>
        <v>1168.6300000000001</v>
      </c>
      <c r="CA57" s="8">
        <f>ROUND(BZ57/Weightings!$M$5,4)</f>
        <v>0.30449999999999999</v>
      </c>
      <c r="CB57" s="1">
        <f t="shared" si="122"/>
        <v>32</v>
      </c>
      <c r="CC57" s="173">
        <v>0</v>
      </c>
      <c r="CD57" s="173">
        <v>0</v>
      </c>
      <c r="CE57" s="173">
        <v>0</v>
      </c>
      <c r="CF57" s="177">
        <v>0</v>
      </c>
      <c r="CG57" s="2">
        <f>AS57*Weightings!$M$5*CF57</f>
        <v>0</v>
      </c>
      <c r="CH57" s="2">
        <f t="shared" si="123"/>
        <v>0</v>
      </c>
      <c r="CI57" s="117">
        <f t="shared" si="111"/>
        <v>0.34100000000000003</v>
      </c>
      <c r="CJ57" s="4">
        <f t="shared" si="112"/>
        <v>1</v>
      </c>
      <c r="CK57" s="1">
        <f t="shared" si="124"/>
        <v>0</v>
      </c>
      <c r="CL57" s="1">
        <f t="shared" si="125"/>
        <v>0</v>
      </c>
      <c r="CM57" s="1">
        <f t="shared" si="126"/>
        <v>0</v>
      </c>
      <c r="CN57" s="1">
        <f>IF(ISNA(VLOOKUP($CZ57,'Audit Values'!$A$2:$AE$439,2,FALSE)),'Preliminary SO66'!T54,VLOOKUP($CZ57,'Audit Values'!$A$2:$AE$439,20,FALSE))</f>
        <v>0</v>
      </c>
      <c r="CO57" s="1">
        <f t="shared" si="127"/>
        <v>0</v>
      </c>
      <c r="CP57" s="183">
        <v>0</v>
      </c>
      <c r="CQ57" s="1">
        <f t="shared" si="128"/>
        <v>0</v>
      </c>
      <c r="CR57" s="2">
        <f>IF(ISNA(VLOOKUP($CZ57,'Audit Values'!$A$2:$AE$439,2,FALSE)),'Preliminary SO66'!V54,VLOOKUP($CZ57,'Audit Values'!$A$2:$AE$439,22,FALSE))</f>
        <v>0</v>
      </c>
      <c r="CS57" s="1">
        <f t="shared" si="129"/>
        <v>0</v>
      </c>
      <c r="CT57" s="2">
        <f>IF(ISNA(VLOOKUP($CZ57,'Audit Values'!$A$2:$AE$439,2,FALSE)),'Preliminary SO66'!W54,VLOOKUP($CZ57,'Audit Values'!$A$2:$AE$439,23,FALSE))</f>
        <v>0</v>
      </c>
      <c r="CU57" s="1">
        <f t="shared" si="138"/>
        <v>0</v>
      </c>
      <c r="CV57" s="1">
        <f t="shared" si="139"/>
        <v>0</v>
      </c>
      <c r="CW57" s="176">
        <v>0</v>
      </c>
      <c r="CX57" s="2">
        <f>IF(CW57&gt;0,Weightings!$M$11*AR57,0)</f>
        <v>0</v>
      </c>
      <c r="CY57" s="2">
        <f t="shared" si="130"/>
        <v>0</v>
      </c>
      <c r="CZ57" s="108" t="s">
        <v>349</v>
      </c>
    </row>
    <row r="58" spans="1:104">
      <c r="A58" s="82">
        <v>246</v>
      </c>
      <c r="B58" s="4" t="s">
        <v>30</v>
      </c>
      <c r="C58" s="4" t="s">
        <v>685</v>
      </c>
      <c r="D58" s="1">
        <v>487.8</v>
      </c>
      <c r="E58" s="1">
        <v>0</v>
      </c>
      <c r="F58" s="1">
        <f t="shared" si="135"/>
        <v>487.8</v>
      </c>
      <c r="G58" s="1">
        <v>462</v>
      </c>
      <c r="H58" s="1">
        <v>0</v>
      </c>
      <c r="I58" s="1">
        <f t="shared" si="116"/>
        <v>462</v>
      </c>
      <c r="J58" s="1">
        <f t="shared" si="79"/>
        <v>477.5</v>
      </c>
      <c r="K58" s="1">
        <f>IF(ISNA(VLOOKUP($CZ58,'Audit Values'!$A$2:$AE$439,2,FALSE)),'Preliminary SO66'!B55,VLOOKUP($CZ58,'Audit Values'!$A$2:$AE$439,31,FALSE))</f>
        <v>477.5</v>
      </c>
      <c r="L58" s="1">
        <f t="shared" si="80"/>
        <v>477.5</v>
      </c>
      <c r="M58" s="1">
        <f>IF(ISNA(VLOOKUP($CZ58,'Audit Values'!$A$2:$AE$439,2,FALSE)),'Preliminary SO66'!Z55,VLOOKUP($CZ58,'Audit Values'!$A$2:$AE$439,26,FALSE))</f>
        <v>0</v>
      </c>
      <c r="N58" s="1">
        <f t="shared" si="81"/>
        <v>477.5</v>
      </c>
      <c r="O58" s="1">
        <f>IF(ISNA(VLOOKUP($CZ58,'Audit Values'!$A$2:$AE$439,2,FALSE)),'Preliminary SO66'!C55,IF(VLOOKUP($CZ58,'Audit Values'!$A$2:$AE$439,28,FALSE)="",VLOOKUP($CZ58,'Audit Values'!$A$2:$AE$439,3,FALSE),VLOOKUP($CZ58,'Audit Values'!$A$2:$AE$439,28,FALSE)))</f>
        <v>6</v>
      </c>
      <c r="P58" s="109">
        <f t="shared" si="82"/>
        <v>483.5</v>
      </c>
      <c r="Q58" s="110">
        <f t="shared" si="83"/>
        <v>483.5</v>
      </c>
      <c r="R58" s="111">
        <f t="shared" si="84"/>
        <v>483.5</v>
      </c>
      <c r="S58" s="1">
        <f t="shared" si="85"/>
        <v>483.5</v>
      </c>
      <c r="T58" s="1">
        <f t="shared" si="133"/>
        <v>0</v>
      </c>
      <c r="U58" s="1">
        <f t="shared" si="87"/>
        <v>204</v>
      </c>
      <c r="V58" s="1">
        <f t="shared" si="88"/>
        <v>204</v>
      </c>
      <c r="W58" s="1">
        <f t="shared" si="89"/>
        <v>0</v>
      </c>
      <c r="X58" s="1">
        <f>IF(ISNA(VLOOKUP($CZ58,'Audit Values'!$A$2:$AE$439,2,FALSE)),'Preliminary SO66'!D55,VLOOKUP($CZ58,'Audit Values'!$A$2:$AE$439,4,FALSE))</f>
        <v>0</v>
      </c>
      <c r="Y58" s="1">
        <f>ROUND((X58/6)*Weightings!$M$6,1)</f>
        <v>0</v>
      </c>
      <c r="Z58" s="1">
        <f>IF(ISNA(VLOOKUP($CZ58,'Audit Values'!$A$2:$AE$439,2,FALSE)),'Preliminary SO66'!F55,VLOOKUP($CZ58,'Audit Values'!$A$2:$AE$439,6,FALSE))</f>
        <v>0</v>
      </c>
      <c r="AA58" s="1">
        <f>ROUND((Z58/6)*Weightings!$M$7,1)</f>
        <v>0</v>
      </c>
      <c r="AB58" s="2">
        <f>IF(ISNA(VLOOKUP($CZ58,'Audit Values'!$A$2:$AE$439,2,FALSE)),'Preliminary SO66'!H55,VLOOKUP($CZ58,'Audit Values'!$A$2:$AE$439,8,FALSE))</f>
        <v>304</v>
      </c>
      <c r="AC58" s="1">
        <f>ROUND(AB58*Weightings!$M$8,1)</f>
        <v>138.6</v>
      </c>
      <c r="AD58" s="1">
        <f t="shared" si="117"/>
        <v>31.9</v>
      </c>
      <c r="AE58" s="185">
        <v>46</v>
      </c>
      <c r="AF58" s="1">
        <f>AE58*Weightings!$M$9</f>
        <v>2.1</v>
      </c>
      <c r="AG58" s="1">
        <f>IF(ISNA(VLOOKUP($CZ58,'Audit Values'!$A$2:$AE$439,2,FALSE)),'Preliminary SO66'!L55,VLOOKUP($CZ58,'Audit Values'!$A$2:$AE$439,12,FALSE))</f>
        <v>0</v>
      </c>
      <c r="AH58" s="1">
        <f>ROUND(AG58*Weightings!$M$10,1)</f>
        <v>0</v>
      </c>
      <c r="AI58" s="1">
        <f>IF(ISNA(VLOOKUP($CZ58,'Audit Values'!$A$2:$AE$439,2,FALSE)),'Preliminary SO66'!O55,VLOOKUP($CZ58,'Audit Values'!$A$2:$AE$439,15,FALSE))</f>
        <v>205</v>
      </c>
      <c r="AJ58" s="1">
        <f t="shared" si="90"/>
        <v>46.1</v>
      </c>
      <c r="AK58" s="1">
        <f>CC58/Weightings!$M$5</f>
        <v>0</v>
      </c>
      <c r="AL58" s="1">
        <f>CD58/Weightings!$M$5</f>
        <v>0</v>
      </c>
      <c r="AM58" s="1">
        <f>CH58/Weightings!$M$5</f>
        <v>0</v>
      </c>
      <c r="AN58" s="1">
        <f t="shared" si="118"/>
        <v>0</v>
      </c>
      <c r="AO58" s="1">
        <f>IF(ISNA(VLOOKUP($CZ58,'Audit Values'!$A$2:$AE$439,2,FALSE)),'Preliminary SO66'!X55,VLOOKUP($CZ58,'Audit Values'!$A$2:$AE$439,24,FALSE))</f>
        <v>0</v>
      </c>
      <c r="AP58" s="188">
        <v>460544</v>
      </c>
      <c r="AQ58" s="113">
        <f>AP58/Weightings!$M$5</f>
        <v>120</v>
      </c>
      <c r="AR58" s="113">
        <f t="shared" si="91"/>
        <v>906.2</v>
      </c>
      <c r="AS58" s="1">
        <f t="shared" si="92"/>
        <v>1026.2</v>
      </c>
      <c r="AT58" s="1">
        <f t="shared" si="93"/>
        <v>1026.2</v>
      </c>
      <c r="AU58" s="2">
        <f t="shared" si="119"/>
        <v>0</v>
      </c>
      <c r="AV58" s="82">
        <f>IF(ISNA(VLOOKUP($CZ58,'Audit Values'!$A$2:$AC$360,2,FALSE)),"",IF(AND(Weightings!H58&gt;0,VLOOKUP($CZ58,'Audit Values'!$A$2:$AC$360,29,FALSE)&lt;Weightings!H58),Weightings!H58,VLOOKUP($CZ58,'Audit Values'!$A$2:$AC$360,29,FALSE)))</f>
        <v>13</v>
      </c>
      <c r="AW58" s="82" t="str">
        <f>IF(ISNA(VLOOKUP($CZ58,'Audit Values'!$A$2:$AD$360,2,FALSE)),"",VLOOKUP($CZ58,'Audit Values'!$A$2:$AD$360,30,FALSE))</f>
        <v>A</v>
      </c>
      <c r="AX58" s="82" t="str">
        <f>IF(Weightings!G58="","",IF(Weightings!I58="Pending","PX","R"))</f>
        <v/>
      </c>
      <c r="AY58" s="114">
        <f>AR58*Weightings!$M$5+AU58</f>
        <v>3477996</v>
      </c>
      <c r="AZ58" s="2">
        <f>AT58*Weightings!$M$5+AU58</f>
        <v>3938556</v>
      </c>
      <c r="BA58" s="2">
        <f>IF(Weightings!G58&gt;0,Weightings!G58,'Preliminary SO66'!AB55)</f>
        <v>4077107</v>
      </c>
      <c r="BB58" s="2">
        <f t="shared" si="94"/>
        <v>3938556</v>
      </c>
      <c r="BC58" s="124"/>
      <c r="BD58" s="124">
        <f>Weightings!E58</f>
        <v>0</v>
      </c>
      <c r="BE58" s="124">
        <f>Weightings!F58</f>
        <v>0</v>
      </c>
      <c r="BF58" s="2">
        <f t="shared" si="95"/>
        <v>0</v>
      </c>
      <c r="BG58" s="2">
        <f t="shared" si="96"/>
        <v>3938556</v>
      </c>
      <c r="BH58" s="2">
        <f>MAX(ROUND(((AR58-AO58)*4433)+AP58,0),ROUND(((AR58-AO58)*4433)+Weightings!B58,0))</f>
        <v>4538181</v>
      </c>
      <c r="BI58" s="174">
        <v>0.3</v>
      </c>
      <c r="BJ58" s="2">
        <f t="shared" si="134"/>
        <v>1361454</v>
      </c>
      <c r="BK58" s="173">
        <v>1340000</v>
      </c>
      <c r="BL58" s="2">
        <f t="shared" si="98"/>
        <v>1340000</v>
      </c>
      <c r="BM58" s="3">
        <f t="shared" si="120"/>
        <v>0.29530000000000001</v>
      </c>
      <c r="BN58" s="1">
        <f t="shared" si="99"/>
        <v>0</v>
      </c>
      <c r="BO58" s="4" t="b">
        <f t="shared" si="100"/>
        <v>0</v>
      </c>
      <c r="BP58" s="5">
        <f t="shared" si="101"/>
        <v>0</v>
      </c>
      <c r="BQ58" s="6">
        <f t="shared" si="102"/>
        <v>0</v>
      </c>
      <c r="BR58" s="4">
        <f t="shared" si="103"/>
        <v>0</v>
      </c>
      <c r="BS58" s="4" t="b">
        <f t="shared" si="104"/>
        <v>1</v>
      </c>
      <c r="BT58" s="4">
        <f t="shared" si="105"/>
        <v>227.0813</v>
      </c>
      <c r="BU58" s="6">
        <f t="shared" si="106"/>
        <v>0.42184199999999999</v>
      </c>
      <c r="BV58" s="1">
        <f t="shared" si="107"/>
        <v>204</v>
      </c>
      <c r="BW58" s="1">
        <f t="shared" si="108"/>
        <v>0</v>
      </c>
      <c r="BX58" s="116">
        <v>106</v>
      </c>
      <c r="BY58" s="7">
        <f t="shared" si="121"/>
        <v>1.93</v>
      </c>
      <c r="BZ58" s="7">
        <f>IF(ROUND((Weightings!$P$5*BY58^Weightings!$P$6*Weightings!$P$8 ),2)&lt;Weightings!$P$7,Weightings!$P$7,ROUND((Weightings!$P$5*BY58^Weightings!$P$6*Weightings!$P$8 ),2))</f>
        <v>862.66</v>
      </c>
      <c r="CA58" s="8">
        <f>ROUND(BZ58/Weightings!$M$5,4)</f>
        <v>0.2248</v>
      </c>
      <c r="CB58" s="1">
        <f t="shared" si="122"/>
        <v>46.1</v>
      </c>
      <c r="CC58" s="173">
        <v>0</v>
      </c>
      <c r="CD58" s="173">
        <v>0</v>
      </c>
      <c r="CE58" s="173">
        <v>0</v>
      </c>
      <c r="CF58" s="177">
        <v>0</v>
      </c>
      <c r="CG58" s="2">
        <f>AS58*Weightings!$M$5*CF58</f>
        <v>0</v>
      </c>
      <c r="CH58" s="2">
        <f t="shared" si="123"/>
        <v>0</v>
      </c>
      <c r="CI58" s="117">
        <f t="shared" si="111"/>
        <v>0.629</v>
      </c>
      <c r="CJ58" s="4">
        <f t="shared" si="112"/>
        <v>4.5999999999999996</v>
      </c>
      <c r="CK58" s="1">
        <f t="shared" si="124"/>
        <v>31.9</v>
      </c>
      <c r="CL58" s="1">
        <f t="shared" si="125"/>
        <v>0</v>
      </c>
      <c r="CM58" s="1">
        <f t="shared" si="126"/>
        <v>0</v>
      </c>
      <c r="CN58" s="1">
        <f>IF(ISNA(VLOOKUP($CZ58,'Audit Values'!$A$2:$AE$439,2,FALSE)),'Preliminary SO66'!T55,VLOOKUP($CZ58,'Audit Values'!$A$2:$AE$439,20,FALSE))</f>
        <v>0</v>
      </c>
      <c r="CO58" s="1">
        <f t="shared" si="127"/>
        <v>0</v>
      </c>
      <c r="CP58" s="183">
        <v>0</v>
      </c>
      <c r="CQ58" s="1">
        <f t="shared" si="128"/>
        <v>0</v>
      </c>
      <c r="CR58" s="2">
        <f>IF(ISNA(VLOOKUP($CZ58,'Audit Values'!$A$2:$AE$439,2,FALSE)),'Preliminary SO66'!V55,VLOOKUP($CZ58,'Audit Values'!$A$2:$AE$439,22,FALSE))</f>
        <v>0</v>
      </c>
      <c r="CS58" s="1">
        <f t="shared" si="129"/>
        <v>0</v>
      </c>
      <c r="CT58" s="2">
        <f>IF(ISNA(VLOOKUP($CZ58,'Audit Values'!$A$2:$AE$439,2,FALSE)),'Preliminary SO66'!W55,VLOOKUP($CZ58,'Audit Values'!$A$2:$AE$439,23,FALSE))</f>
        <v>0</v>
      </c>
      <c r="CU58" s="1">
        <f t="shared" si="138"/>
        <v>0</v>
      </c>
      <c r="CV58" s="1">
        <f t="shared" si="139"/>
        <v>0</v>
      </c>
      <c r="CW58" s="176">
        <v>0</v>
      </c>
      <c r="CX58" s="2">
        <f>IF(CW58&gt;0,Weightings!$M$11*AR58,0)</f>
        <v>0</v>
      </c>
      <c r="CY58" s="2">
        <f t="shared" si="130"/>
        <v>0</v>
      </c>
      <c r="CZ58" s="108" t="s">
        <v>350</v>
      </c>
    </row>
    <row r="59" spans="1:104">
      <c r="A59" s="82">
        <v>247</v>
      </c>
      <c r="B59" s="4" t="s">
        <v>30</v>
      </c>
      <c r="C59" s="4" t="s">
        <v>686</v>
      </c>
      <c r="D59" s="1">
        <v>655</v>
      </c>
      <c r="E59" s="1">
        <v>0</v>
      </c>
      <c r="F59" s="1">
        <f t="shared" si="135"/>
        <v>655</v>
      </c>
      <c r="G59" s="1">
        <v>652.6</v>
      </c>
      <c r="H59" s="1">
        <v>0</v>
      </c>
      <c r="I59" s="1">
        <f t="shared" si="116"/>
        <v>652.6</v>
      </c>
      <c r="J59" s="1">
        <f t="shared" si="79"/>
        <v>615.5</v>
      </c>
      <c r="K59" s="1">
        <f>IF(ISNA(VLOOKUP($CZ59,'Audit Values'!$A$2:$AE$439,2,FALSE)),'Preliminary SO66'!B56,VLOOKUP($CZ59,'Audit Values'!$A$2:$AE$439,31,FALSE))</f>
        <v>615.5</v>
      </c>
      <c r="L59" s="1">
        <f t="shared" si="80"/>
        <v>652.6</v>
      </c>
      <c r="M59" s="1">
        <f>IF(ISNA(VLOOKUP($CZ59,'Audit Values'!$A$2:$AE$439,2,FALSE)),'Preliminary SO66'!Z56,VLOOKUP($CZ59,'Audit Values'!$A$2:$AE$439,26,FALSE))</f>
        <v>0</v>
      </c>
      <c r="N59" s="1">
        <f t="shared" si="81"/>
        <v>652.6</v>
      </c>
      <c r="O59" s="1">
        <f>IF(ISNA(VLOOKUP($CZ59,'Audit Values'!$A$2:$AE$439,2,FALSE)),'Preliminary SO66'!C56,IF(VLOOKUP($CZ59,'Audit Values'!$A$2:$AE$439,28,FALSE)="",VLOOKUP($CZ59,'Audit Values'!$A$2:$AE$439,3,FALSE),VLOOKUP($CZ59,'Audit Values'!$A$2:$AE$439,28,FALSE)))</f>
        <v>5.5</v>
      </c>
      <c r="P59" s="109">
        <f t="shared" si="82"/>
        <v>621</v>
      </c>
      <c r="Q59" s="110">
        <f t="shared" si="83"/>
        <v>621</v>
      </c>
      <c r="R59" s="111">
        <f t="shared" si="84"/>
        <v>621</v>
      </c>
      <c r="S59" s="1">
        <f t="shared" si="85"/>
        <v>658.1</v>
      </c>
      <c r="T59" s="1">
        <f t="shared" si="133"/>
        <v>0</v>
      </c>
      <c r="U59" s="1">
        <f t="shared" si="87"/>
        <v>238.6</v>
      </c>
      <c r="V59" s="1">
        <f t="shared" si="88"/>
        <v>238.6</v>
      </c>
      <c r="W59" s="1">
        <f t="shared" si="89"/>
        <v>0</v>
      </c>
      <c r="X59" s="1">
        <f>IF(ISNA(VLOOKUP($CZ59,'Audit Values'!$A$2:$AE$439,2,FALSE)),'Preliminary SO66'!D56,VLOOKUP($CZ59,'Audit Values'!$A$2:$AE$439,4,FALSE))</f>
        <v>133.30000000000001</v>
      </c>
      <c r="Y59" s="1">
        <f>ROUND((X59/6)*Weightings!$M$6,1)</f>
        <v>11.1</v>
      </c>
      <c r="Z59" s="1">
        <f>IF(ISNA(VLOOKUP($CZ59,'Audit Values'!$A$2:$AE$439,2,FALSE)),'Preliminary SO66'!F56,VLOOKUP($CZ59,'Audit Values'!$A$2:$AE$439,6,FALSE))</f>
        <v>0</v>
      </c>
      <c r="AA59" s="1">
        <f>ROUND((Z59/6)*Weightings!$M$7,1)</f>
        <v>0</v>
      </c>
      <c r="AB59" s="2">
        <f>IF(ISNA(VLOOKUP($CZ59,'Audit Values'!$A$2:$AE$439,2,FALSE)),'Preliminary SO66'!H56,VLOOKUP($CZ59,'Audit Values'!$A$2:$AE$439,8,FALSE))</f>
        <v>284</v>
      </c>
      <c r="AC59" s="1">
        <f>ROUND(AB59*Weightings!$M$8,1)</f>
        <v>129.5</v>
      </c>
      <c r="AD59" s="1">
        <f t="shared" si="117"/>
        <v>16.3</v>
      </c>
      <c r="AE59" s="185">
        <v>82</v>
      </c>
      <c r="AF59" s="1">
        <f>AE59*Weightings!$M$9</f>
        <v>3.8</v>
      </c>
      <c r="AG59" s="1">
        <f>IF(ISNA(VLOOKUP($CZ59,'Audit Values'!$A$2:$AE$439,2,FALSE)),'Preliminary SO66'!L56,VLOOKUP($CZ59,'Audit Values'!$A$2:$AE$439,12,FALSE))</f>
        <v>0</v>
      </c>
      <c r="AH59" s="1">
        <f>ROUND(AG59*Weightings!$M$10,1)</f>
        <v>0</v>
      </c>
      <c r="AI59" s="1">
        <f>IF(ISNA(VLOOKUP($CZ59,'Audit Values'!$A$2:$AE$439,2,FALSE)),'Preliminary SO66'!O56,VLOOKUP($CZ59,'Audit Values'!$A$2:$AE$439,15,FALSE))</f>
        <v>342</v>
      </c>
      <c r="AJ59" s="1">
        <f t="shared" si="90"/>
        <v>86.7</v>
      </c>
      <c r="AK59" s="1">
        <f>CC59/Weightings!$M$5</f>
        <v>0</v>
      </c>
      <c r="AL59" s="1">
        <f>CD59/Weightings!$M$5</f>
        <v>0</v>
      </c>
      <c r="AM59" s="1">
        <f>CH59/Weightings!$M$5</f>
        <v>0</v>
      </c>
      <c r="AN59" s="1">
        <f t="shared" si="118"/>
        <v>0</v>
      </c>
      <c r="AO59" s="1">
        <f>IF(ISNA(VLOOKUP($CZ59,'Audit Values'!$A$2:$AE$439,2,FALSE)),'Preliminary SO66'!X56,VLOOKUP($CZ59,'Audit Values'!$A$2:$AE$439,24,FALSE))</f>
        <v>0</v>
      </c>
      <c r="AP59" s="188">
        <v>647966</v>
      </c>
      <c r="AQ59" s="113">
        <f>AP59/Weightings!$M$5</f>
        <v>168.8</v>
      </c>
      <c r="AR59" s="113">
        <f t="shared" si="91"/>
        <v>1144.0999999999999</v>
      </c>
      <c r="AS59" s="1">
        <f t="shared" si="92"/>
        <v>1312.9</v>
      </c>
      <c r="AT59" s="1">
        <f t="shared" si="93"/>
        <v>1312.9</v>
      </c>
      <c r="AU59" s="2">
        <f t="shared" si="119"/>
        <v>0</v>
      </c>
      <c r="AV59" s="82">
        <f>IF(ISNA(VLOOKUP($CZ59,'Audit Values'!$A$2:$AC$360,2,FALSE)),"",IF(AND(Weightings!H59&gt;0,VLOOKUP($CZ59,'Audit Values'!$A$2:$AC$360,29,FALSE)&lt;Weightings!H59),Weightings!H59,VLOOKUP($CZ59,'Audit Values'!$A$2:$AC$360,29,FALSE)))</f>
        <v>3</v>
      </c>
      <c r="AW59" s="82" t="str">
        <f>IF(ISNA(VLOOKUP($CZ59,'Audit Values'!$A$2:$AD$360,2,FALSE)),"",VLOOKUP($CZ59,'Audit Values'!$A$2:$AD$360,30,FALSE))</f>
        <v>A</v>
      </c>
      <c r="AX59" s="82" t="str">
        <f>IF(Weightings!G59="","",IF(Weightings!I59="Pending","PX","R"))</f>
        <v/>
      </c>
      <c r="AY59" s="114">
        <f>AR59*Weightings!$M$5+AU59</f>
        <v>4391056</v>
      </c>
      <c r="AZ59" s="2">
        <f>AT59*Weightings!$M$5+AU59</f>
        <v>5038910</v>
      </c>
      <c r="BA59" s="2">
        <f>IF(Weightings!G59&gt;0,Weightings!G59,'Preliminary SO66'!AB56)</f>
        <v>5119124</v>
      </c>
      <c r="BB59" s="2">
        <f t="shared" si="94"/>
        <v>5038910</v>
      </c>
      <c r="BC59" s="124"/>
      <c r="BD59" s="124">
        <f>Weightings!E59</f>
        <v>0</v>
      </c>
      <c r="BE59" s="124">
        <f>Weightings!F59</f>
        <v>0</v>
      </c>
      <c r="BF59" s="2">
        <f t="shared" si="95"/>
        <v>0</v>
      </c>
      <c r="BG59" s="2">
        <f t="shared" si="96"/>
        <v>5038910</v>
      </c>
      <c r="BH59" s="2">
        <f>MAX(ROUND(((AR59-AO59)*4433)+AP59,0),ROUND(((AR59-AO59)*4433)+Weightings!B59,0))</f>
        <v>5728435</v>
      </c>
      <c r="BI59" s="174">
        <v>0.3</v>
      </c>
      <c r="BJ59" s="2">
        <f t="shared" si="134"/>
        <v>1718531</v>
      </c>
      <c r="BK59" s="173">
        <v>1747256</v>
      </c>
      <c r="BL59" s="2">
        <f t="shared" si="98"/>
        <v>1718531</v>
      </c>
      <c r="BM59" s="3">
        <f t="shared" si="120"/>
        <v>0.3</v>
      </c>
      <c r="BN59" s="1">
        <f t="shared" si="99"/>
        <v>0</v>
      </c>
      <c r="BO59" s="4" t="b">
        <f t="shared" si="100"/>
        <v>0</v>
      </c>
      <c r="BP59" s="5">
        <f t="shared" si="101"/>
        <v>0</v>
      </c>
      <c r="BQ59" s="6">
        <f t="shared" si="102"/>
        <v>0</v>
      </c>
      <c r="BR59" s="4">
        <f t="shared" si="103"/>
        <v>0</v>
      </c>
      <c r="BS59" s="4" t="b">
        <f t="shared" si="104"/>
        <v>1</v>
      </c>
      <c r="BT59" s="4">
        <f t="shared" si="105"/>
        <v>443.14879999999999</v>
      </c>
      <c r="BU59" s="6">
        <f t="shared" si="106"/>
        <v>0.36252200000000001</v>
      </c>
      <c r="BV59" s="1">
        <f t="shared" si="107"/>
        <v>238.6</v>
      </c>
      <c r="BW59" s="1">
        <f t="shared" si="108"/>
        <v>0</v>
      </c>
      <c r="BX59" s="116">
        <v>300</v>
      </c>
      <c r="BY59" s="7">
        <f t="shared" si="121"/>
        <v>1.1399999999999999</v>
      </c>
      <c r="BZ59" s="7">
        <f>IF(ROUND((Weightings!$P$5*BY59^Weightings!$P$6*Weightings!$P$8 ),2)&lt;Weightings!$P$7,Weightings!$P$7,ROUND((Weightings!$P$5*BY59^Weightings!$P$6*Weightings!$P$8 ),2))</f>
        <v>972.73</v>
      </c>
      <c r="CA59" s="8">
        <f>ROUND(BZ59/Weightings!$M$5,4)</f>
        <v>0.25340000000000001</v>
      </c>
      <c r="CB59" s="1">
        <f t="shared" si="122"/>
        <v>86.7</v>
      </c>
      <c r="CC59" s="173">
        <v>0</v>
      </c>
      <c r="CD59" s="173">
        <v>0</v>
      </c>
      <c r="CE59" s="173">
        <v>0</v>
      </c>
      <c r="CF59" s="177">
        <v>0</v>
      </c>
      <c r="CG59" s="2">
        <f>AS59*Weightings!$M$5*CF59</f>
        <v>0</v>
      </c>
      <c r="CH59" s="2">
        <f t="shared" si="123"/>
        <v>0</v>
      </c>
      <c r="CI59" s="117">
        <f t="shared" si="111"/>
        <v>0.432</v>
      </c>
      <c r="CJ59" s="4">
        <f t="shared" si="112"/>
        <v>2.2000000000000002</v>
      </c>
      <c r="CK59" s="1">
        <f t="shared" si="124"/>
        <v>0</v>
      </c>
      <c r="CL59" s="1">
        <f t="shared" si="125"/>
        <v>0</v>
      </c>
      <c r="CM59" s="1">
        <f t="shared" si="126"/>
        <v>16.3</v>
      </c>
      <c r="CN59" s="1">
        <f>IF(ISNA(VLOOKUP($CZ59,'Audit Values'!$A$2:$AE$439,2,FALSE)),'Preliminary SO66'!T56,VLOOKUP($CZ59,'Audit Values'!$A$2:$AE$439,20,FALSE))</f>
        <v>0</v>
      </c>
      <c r="CO59" s="1">
        <f t="shared" si="127"/>
        <v>0</v>
      </c>
      <c r="CP59" s="183">
        <v>0</v>
      </c>
      <c r="CQ59" s="1">
        <f t="shared" si="128"/>
        <v>0</v>
      </c>
      <c r="CR59" s="2">
        <f>IF(ISNA(VLOOKUP($CZ59,'Audit Values'!$A$2:$AE$439,2,FALSE)),'Preliminary SO66'!V56,VLOOKUP($CZ59,'Audit Values'!$A$2:$AE$439,22,FALSE))</f>
        <v>0</v>
      </c>
      <c r="CS59" s="1">
        <f t="shared" si="129"/>
        <v>0</v>
      </c>
      <c r="CT59" s="2">
        <f>IF(ISNA(VLOOKUP($CZ59,'Audit Values'!$A$2:$AE$439,2,FALSE)),'Preliminary SO66'!W56,VLOOKUP($CZ59,'Audit Values'!$A$2:$AE$439,23,FALSE))</f>
        <v>0</v>
      </c>
      <c r="CU59" s="1">
        <f t="shared" si="138"/>
        <v>0</v>
      </c>
      <c r="CV59" s="1">
        <f t="shared" si="139"/>
        <v>0</v>
      </c>
      <c r="CW59" s="176">
        <v>0</v>
      </c>
      <c r="CX59" s="2">
        <f>IF(CW59&gt;0,Weightings!$M$11*AR59,0)</f>
        <v>0</v>
      </c>
      <c r="CY59" s="2">
        <f t="shared" si="130"/>
        <v>0</v>
      </c>
      <c r="CZ59" s="108" t="s">
        <v>351</v>
      </c>
    </row>
    <row r="60" spans="1:104">
      <c r="A60" s="82">
        <v>248</v>
      </c>
      <c r="B60" s="4" t="s">
        <v>30</v>
      </c>
      <c r="C60" s="4" t="s">
        <v>687</v>
      </c>
      <c r="D60" s="1">
        <v>1011.5</v>
      </c>
      <c r="E60" s="1">
        <v>0</v>
      </c>
      <c r="F60" s="1">
        <f t="shared" si="135"/>
        <v>1011.5</v>
      </c>
      <c r="G60" s="1">
        <v>1000</v>
      </c>
      <c r="H60" s="1">
        <v>0</v>
      </c>
      <c r="I60" s="1">
        <f t="shared" si="116"/>
        <v>1000</v>
      </c>
      <c r="J60" s="1">
        <f t="shared" si="79"/>
        <v>973.5</v>
      </c>
      <c r="K60" s="1">
        <f>IF(ISNA(VLOOKUP($CZ60,'Audit Values'!$A$2:$AE$439,2,FALSE)),'Preliminary SO66'!B57,VLOOKUP($CZ60,'Audit Values'!$A$2:$AE$439,31,FALSE))</f>
        <v>973.5</v>
      </c>
      <c r="L60" s="1">
        <f t="shared" si="80"/>
        <v>1000</v>
      </c>
      <c r="M60" s="1">
        <f>IF(ISNA(VLOOKUP($CZ60,'Audit Values'!$A$2:$AE$439,2,FALSE)),'Preliminary SO66'!Z57,VLOOKUP($CZ60,'Audit Values'!$A$2:$AE$439,26,FALSE))</f>
        <v>0</v>
      </c>
      <c r="N60" s="1">
        <f t="shared" si="81"/>
        <v>1000</v>
      </c>
      <c r="O60" s="1">
        <f>IF(ISNA(VLOOKUP($CZ60,'Audit Values'!$A$2:$AE$439,2,FALSE)),'Preliminary SO66'!C57,IF(VLOOKUP($CZ60,'Audit Values'!$A$2:$AE$439,28,FALSE)="",VLOOKUP($CZ60,'Audit Values'!$A$2:$AE$439,3,FALSE),VLOOKUP($CZ60,'Audit Values'!$A$2:$AE$439,28,FALSE)))</f>
        <v>7</v>
      </c>
      <c r="P60" s="109">
        <f t="shared" si="82"/>
        <v>980.5</v>
      </c>
      <c r="Q60" s="110">
        <f t="shared" si="83"/>
        <v>980.5</v>
      </c>
      <c r="R60" s="111">
        <f t="shared" si="84"/>
        <v>980.5</v>
      </c>
      <c r="S60" s="1">
        <f t="shared" si="85"/>
        <v>1007</v>
      </c>
      <c r="T60" s="1">
        <f t="shared" si="133"/>
        <v>0</v>
      </c>
      <c r="U60" s="1">
        <f t="shared" si="87"/>
        <v>245.7</v>
      </c>
      <c r="V60" s="1">
        <f t="shared" si="88"/>
        <v>245.7</v>
      </c>
      <c r="W60" s="1">
        <f t="shared" si="89"/>
        <v>0</v>
      </c>
      <c r="X60" s="1">
        <f>IF(ISNA(VLOOKUP($CZ60,'Audit Values'!$A$2:$AE$439,2,FALSE)),'Preliminary SO66'!D57,VLOOKUP($CZ60,'Audit Values'!$A$2:$AE$439,4,FALSE))</f>
        <v>260.39999999999998</v>
      </c>
      <c r="Y60" s="1">
        <f>ROUND((X60/6)*Weightings!$M$6,1)</f>
        <v>21.7</v>
      </c>
      <c r="Z60" s="1">
        <f>IF(ISNA(VLOOKUP($CZ60,'Audit Values'!$A$2:$AE$439,2,FALSE)),'Preliminary SO66'!F57,VLOOKUP($CZ60,'Audit Values'!$A$2:$AE$439,6,FALSE))</f>
        <v>23.3</v>
      </c>
      <c r="AA60" s="1">
        <f>ROUND((Z60/6)*Weightings!$M$7,1)</f>
        <v>1.5</v>
      </c>
      <c r="AB60" s="2">
        <f>IF(ISNA(VLOOKUP($CZ60,'Audit Values'!$A$2:$AE$439,2,FALSE)),'Preliminary SO66'!H57,VLOOKUP($CZ60,'Audit Values'!$A$2:$AE$439,8,FALSE))</f>
        <v>403</v>
      </c>
      <c r="AC60" s="1">
        <f>ROUND(AB60*Weightings!$M$8,1)</f>
        <v>183.8</v>
      </c>
      <c r="AD60" s="1">
        <f t="shared" si="117"/>
        <v>14.1</v>
      </c>
      <c r="AE60" s="185">
        <v>38</v>
      </c>
      <c r="AF60" s="1">
        <f>AE60*Weightings!$M$9</f>
        <v>1.8</v>
      </c>
      <c r="AG60" s="1">
        <f>IF(ISNA(VLOOKUP($CZ60,'Audit Values'!$A$2:$AE$439,2,FALSE)),'Preliminary SO66'!L57,VLOOKUP($CZ60,'Audit Values'!$A$2:$AE$439,12,FALSE))</f>
        <v>0</v>
      </c>
      <c r="AH60" s="1">
        <f>ROUND(AG60*Weightings!$M$10,1)</f>
        <v>0</v>
      </c>
      <c r="AI60" s="1">
        <f>IF(ISNA(VLOOKUP($CZ60,'Audit Values'!$A$2:$AE$439,2,FALSE)),'Preliminary SO66'!O57,VLOOKUP($CZ60,'Audit Values'!$A$2:$AE$439,15,FALSE))</f>
        <v>325</v>
      </c>
      <c r="AJ60" s="1">
        <f t="shared" si="90"/>
        <v>80.8</v>
      </c>
      <c r="AK60" s="1">
        <f>CC60/Weightings!$M$5</f>
        <v>0</v>
      </c>
      <c r="AL60" s="1">
        <f>CD60/Weightings!$M$5</f>
        <v>0</v>
      </c>
      <c r="AM60" s="1">
        <f>CH60/Weightings!$M$5</f>
        <v>0</v>
      </c>
      <c r="AN60" s="1">
        <f t="shared" si="118"/>
        <v>0</v>
      </c>
      <c r="AO60" s="1">
        <f>IF(ISNA(VLOOKUP($CZ60,'Audit Values'!$A$2:$AE$439,2,FALSE)),'Preliminary SO66'!X57,VLOOKUP($CZ60,'Audit Values'!$A$2:$AE$439,24,FALSE))</f>
        <v>0</v>
      </c>
      <c r="AP60" s="188">
        <v>913471</v>
      </c>
      <c r="AQ60" s="113">
        <f>AP60/Weightings!$M$5</f>
        <v>238</v>
      </c>
      <c r="AR60" s="113">
        <f t="shared" si="91"/>
        <v>1556.4</v>
      </c>
      <c r="AS60" s="1">
        <f t="shared" si="92"/>
        <v>1794.4</v>
      </c>
      <c r="AT60" s="1">
        <f t="shared" si="93"/>
        <v>1794.4</v>
      </c>
      <c r="AU60" s="2">
        <f t="shared" si="119"/>
        <v>0</v>
      </c>
      <c r="AV60" s="82">
        <f>IF(ISNA(VLOOKUP($CZ60,'Audit Values'!$A$2:$AC$360,2,FALSE)),"",IF(AND(Weightings!H60&gt;0,VLOOKUP($CZ60,'Audit Values'!$A$2:$AC$360,29,FALSE)&lt;Weightings!H60),Weightings!H60,VLOOKUP($CZ60,'Audit Values'!$A$2:$AC$360,29,FALSE)))</f>
        <v>12</v>
      </c>
      <c r="AW60" s="82" t="str">
        <f>IF(ISNA(VLOOKUP($CZ60,'Audit Values'!$A$2:$AD$360,2,FALSE)),"",VLOOKUP($CZ60,'Audit Values'!$A$2:$AD$360,30,FALSE))</f>
        <v>A</v>
      </c>
      <c r="AX60" s="82" t="str">
        <f>IF(Weightings!G60="","",IF(Weightings!I60="Pending","PX","R"))</f>
        <v/>
      </c>
      <c r="AY60" s="114">
        <f>AR60*Weightings!$M$5+AU60</f>
        <v>5973463</v>
      </c>
      <c r="AZ60" s="2">
        <f>AT60*Weightings!$M$5+AU60</f>
        <v>6886907</v>
      </c>
      <c r="BA60" s="2">
        <f>IF(Weightings!G60&gt;0,Weightings!G60,'Preliminary SO66'!AB57)</f>
        <v>7145972</v>
      </c>
      <c r="BB60" s="2">
        <f t="shared" si="94"/>
        <v>6886907</v>
      </c>
      <c r="BC60" s="124"/>
      <c r="BD60" s="124">
        <f>Weightings!E60</f>
        <v>-3753</v>
      </c>
      <c r="BE60" s="124">
        <f>Weightings!F60</f>
        <v>0</v>
      </c>
      <c r="BF60" s="2">
        <f t="shared" si="95"/>
        <v>-3753</v>
      </c>
      <c r="BG60" s="2">
        <f t="shared" si="96"/>
        <v>6883154</v>
      </c>
      <c r="BH60" s="2">
        <f>MAX(ROUND(((AR60-AO60)*4433)+AP60,0),ROUND(((AR60-AO60)*4433)+Weightings!B60,0))</f>
        <v>7812992</v>
      </c>
      <c r="BI60" s="174">
        <v>0.3</v>
      </c>
      <c r="BJ60" s="2">
        <f t="shared" si="134"/>
        <v>2343898</v>
      </c>
      <c r="BK60" s="173">
        <v>2118500</v>
      </c>
      <c r="BL60" s="2">
        <f t="shared" si="98"/>
        <v>2118500</v>
      </c>
      <c r="BM60" s="3">
        <f t="shared" si="120"/>
        <v>0.2712</v>
      </c>
      <c r="BN60" s="1">
        <f t="shared" si="99"/>
        <v>0</v>
      </c>
      <c r="BO60" s="4" t="b">
        <f t="shared" si="100"/>
        <v>0</v>
      </c>
      <c r="BP60" s="5">
        <f t="shared" si="101"/>
        <v>0</v>
      </c>
      <c r="BQ60" s="6">
        <f t="shared" si="102"/>
        <v>0</v>
      </c>
      <c r="BR60" s="4">
        <f t="shared" si="103"/>
        <v>0</v>
      </c>
      <c r="BS60" s="4" t="b">
        <f t="shared" si="104"/>
        <v>1</v>
      </c>
      <c r="BT60" s="4">
        <f t="shared" si="105"/>
        <v>874.91250000000002</v>
      </c>
      <c r="BU60" s="6">
        <f t="shared" si="106"/>
        <v>0.24398400000000001</v>
      </c>
      <c r="BV60" s="1">
        <f t="shared" si="107"/>
        <v>245.7</v>
      </c>
      <c r="BW60" s="1">
        <f t="shared" si="108"/>
        <v>0</v>
      </c>
      <c r="BX60" s="116">
        <v>263</v>
      </c>
      <c r="BY60" s="7">
        <f t="shared" si="121"/>
        <v>1.24</v>
      </c>
      <c r="BZ60" s="7">
        <f>IF(ROUND((Weightings!$P$5*BY60^Weightings!$P$6*Weightings!$P$8 ),2)&lt;Weightings!$P$7,Weightings!$P$7,ROUND((Weightings!$P$5*BY60^Weightings!$P$6*Weightings!$P$8 ),2))</f>
        <v>954.25</v>
      </c>
      <c r="CA60" s="8">
        <f>ROUND(BZ60/Weightings!$M$5,4)</f>
        <v>0.24859999999999999</v>
      </c>
      <c r="CB60" s="1">
        <f t="shared" si="122"/>
        <v>80.8</v>
      </c>
      <c r="CC60" s="173">
        <v>0</v>
      </c>
      <c r="CD60" s="173">
        <v>0</v>
      </c>
      <c r="CE60" s="173">
        <v>0</v>
      </c>
      <c r="CF60" s="177">
        <v>0</v>
      </c>
      <c r="CG60" s="2">
        <f>AS60*Weightings!$M$5*CF60</f>
        <v>0</v>
      </c>
      <c r="CH60" s="2">
        <f t="shared" si="123"/>
        <v>0</v>
      </c>
      <c r="CI60" s="117">
        <f t="shared" si="111"/>
        <v>0.4</v>
      </c>
      <c r="CJ60" s="4">
        <f t="shared" si="112"/>
        <v>3.8</v>
      </c>
      <c r="CK60" s="1">
        <f t="shared" si="124"/>
        <v>0</v>
      </c>
      <c r="CL60" s="1">
        <f t="shared" si="125"/>
        <v>0</v>
      </c>
      <c r="CM60" s="1">
        <f t="shared" si="126"/>
        <v>14.1</v>
      </c>
      <c r="CN60" s="1">
        <f>IF(ISNA(VLOOKUP($CZ60,'Audit Values'!$A$2:$AE$439,2,FALSE)),'Preliminary SO66'!T57,VLOOKUP($CZ60,'Audit Values'!$A$2:$AE$439,20,FALSE))</f>
        <v>0</v>
      </c>
      <c r="CO60" s="1">
        <f t="shared" si="127"/>
        <v>0</v>
      </c>
      <c r="CP60" s="183">
        <v>0</v>
      </c>
      <c r="CQ60" s="1">
        <f t="shared" si="128"/>
        <v>0</v>
      </c>
      <c r="CR60" s="2">
        <f>IF(ISNA(VLOOKUP($CZ60,'Audit Values'!$A$2:$AE$439,2,FALSE)),'Preliminary SO66'!V57,VLOOKUP($CZ60,'Audit Values'!$A$2:$AE$439,22,FALSE))</f>
        <v>0</v>
      </c>
      <c r="CS60" s="1">
        <f t="shared" si="129"/>
        <v>0</v>
      </c>
      <c r="CT60" s="2">
        <f>IF(ISNA(VLOOKUP($CZ60,'Audit Values'!$A$2:$AE$439,2,FALSE)),'Preliminary SO66'!W57,VLOOKUP($CZ60,'Audit Values'!$A$2:$AE$439,23,FALSE))</f>
        <v>0</v>
      </c>
      <c r="CU60" s="1">
        <f t="shared" si="138"/>
        <v>0</v>
      </c>
      <c r="CV60" s="1">
        <f t="shared" si="139"/>
        <v>0</v>
      </c>
      <c r="CW60" s="176">
        <v>0</v>
      </c>
      <c r="CX60" s="2">
        <f>IF(CW60&gt;0,Weightings!$M$11*AR60,0)</f>
        <v>0</v>
      </c>
      <c r="CY60" s="2">
        <f t="shared" si="130"/>
        <v>0</v>
      </c>
      <c r="CZ60" s="108" t="s">
        <v>352</v>
      </c>
    </row>
    <row r="61" spans="1:104">
      <c r="A61" s="82">
        <v>249</v>
      </c>
      <c r="B61" s="4" t="s">
        <v>30</v>
      </c>
      <c r="C61" s="4" t="s">
        <v>688</v>
      </c>
      <c r="D61" s="1">
        <v>867</v>
      </c>
      <c r="E61" s="1">
        <v>0</v>
      </c>
      <c r="F61" s="1">
        <f t="shared" si="135"/>
        <v>867</v>
      </c>
      <c r="G61" s="1">
        <v>871</v>
      </c>
      <c r="H61" s="1">
        <v>0</v>
      </c>
      <c r="I61" s="1">
        <f t="shared" si="116"/>
        <v>871</v>
      </c>
      <c r="J61" s="1">
        <f t="shared" si="79"/>
        <v>881.5</v>
      </c>
      <c r="K61" s="1">
        <f>IF(ISNA(VLOOKUP($CZ61,'Audit Values'!$A$2:$AE$439,2,FALSE)),'Preliminary SO66'!B58,VLOOKUP($CZ61,'Audit Values'!$A$2:$AE$439,31,FALSE))</f>
        <v>881.5</v>
      </c>
      <c r="L61" s="1">
        <f t="shared" si="80"/>
        <v>881.5</v>
      </c>
      <c r="M61" s="1">
        <f>IF(ISNA(VLOOKUP($CZ61,'Audit Values'!$A$2:$AE$439,2,FALSE)),'Preliminary SO66'!Z58,VLOOKUP($CZ61,'Audit Values'!$A$2:$AE$439,26,FALSE))</f>
        <v>0</v>
      </c>
      <c r="N61" s="1">
        <f t="shared" si="81"/>
        <v>881.5</v>
      </c>
      <c r="O61" s="1">
        <f>IF(ISNA(VLOOKUP($CZ61,'Audit Values'!$A$2:$AE$439,2,FALSE)),'Preliminary SO66'!C58,IF(VLOOKUP($CZ61,'Audit Values'!$A$2:$AE$439,28,FALSE)="",VLOOKUP($CZ61,'Audit Values'!$A$2:$AE$439,3,FALSE),VLOOKUP($CZ61,'Audit Values'!$A$2:$AE$439,28,FALSE)))</f>
        <v>7</v>
      </c>
      <c r="P61" s="109">
        <f t="shared" si="82"/>
        <v>888.5</v>
      </c>
      <c r="Q61" s="110">
        <f t="shared" si="83"/>
        <v>888.5</v>
      </c>
      <c r="R61" s="111">
        <f t="shared" si="84"/>
        <v>888.5</v>
      </c>
      <c r="S61" s="1">
        <f t="shared" si="85"/>
        <v>888.5</v>
      </c>
      <c r="T61" s="1">
        <f t="shared" si="133"/>
        <v>0</v>
      </c>
      <c r="U61" s="1">
        <f t="shared" si="87"/>
        <v>252.6</v>
      </c>
      <c r="V61" s="1">
        <f t="shared" si="88"/>
        <v>252.6</v>
      </c>
      <c r="W61" s="1">
        <f t="shared" si="89"/>
        <v>0</v>
      </c>
      <c r="X61" s="1">
        <f>IF(ISNA(VLOOKUP($CZ61,'Audit Values'!$A$2:$AE$439,2,FALSE)),'Preliminary SO66'!D58,VLOOKUP($CZ61,'Audit Values'!$A$2:$AE$439,4,FALSE))</f>
        <v>178.7</v>
      </c>
      <c r="Y61" s="1">
        <f>ROUND((X61/6)*Weightings!$M$6,1)</f>
        <v>14.9</v>
      </c>
      <c r="Z61" s="1">
        <f>IF(ISNA(VLOOKUP($CZ61,'Audit Values'!$A$2:$AE$439,2,FALSE)),'Preliminary SO66'!F58,VLOOKUP($CZ61,'Audit Values'!$A$2:$AE$439,6,FALSE))</f>
        <v>9.6</v>
      </c>
      <c r="AA61" s="1">
        <f>ROUND((Z61/6)*Weightings!$M$7,1)</f>
        <v>0.6</v>
      </c>
      <c r="AB61" s="2">
        <f>IF(ISNA(VLOOKUP($CZ61,'Audit Values'!$A$2:$AE$439,2,FALSE)),'Preliminary SO66'!H58,VLOOKUP($CZ61,'Audit Values'!$A$2:$AE$439,8,FALSE))</f>
        <v>325</v>
      </c>
      <c r="AC61" s="1">
        <f>ROUND(AB61*Weightings!$M$8,1)</f>
        <v>148.19999999999999</v>
      </c>
      <c r="AD61" s="1">
        <f t="shared" si="117"/>
        <v>3.6</v>
      </c>
      <c r="AE61" s="185">
        <v>58</v>
      </c>
      <c r="AF61" s="1">
        <f>AE61*Weightings!$M$9</f>
        <v>2.7</v>
      </c>
      <c r="AG61" s="1">
        <f>IF(ISNA(VLOOKUP($CZ61,'Audit Values'!$A$2:$AE$439,2,FALSE)),'Preliminary SO66'!L58,VLOOKUP($CZ61,'Audit Values'!$A$2:$AE$439,12,FALSE))</f>
        <v>0</v>
      </c>
      <c r="AH61" s="1">
        <f>ROUND(AG61*Weightings!$M$10,1)</f>
        <v>0</v>
      </c>
      <c r="AI61" s="1">
        <f>IF(ISNA(VLOOKUP($CZ61,'Audit Values'!$A$2:$AE$439,2,FALSE)),'Preliminary SO66'!O58,VLOOKUP($CZ61,'Audit Values'!$A$2:$AE$439,15,FALSE))</f>
        <v>94</v>
      </c>
      <c r="AJ61" s="1">
        <f t="shared" si="90"/>
        <v>17.600000000000001</v>
      </c>
      <c r="AK61" s="1">
        <f>CC61/Weightings!$M$5</f>
        <v>0</v>
      </c>
      <c r="AL61" s="1">
        <f>CD61/Weightings!$M$5</f>
        <v>0</v>
      </c>
      <c r="AM61" s="1">
        <f>CH61/Weightings!$M$5</f>
        <v>0</v>
      </c>
      <c r="AN61" s="1">
        <f t="shared" si="118"/>
        <v>0</v>
      </c>
      <c r="AO61" s="1">
        <f>IF(ISNA(VLOOKUP($CZ61,'Audit Values'!$A$2:$AE$439,2,FALSE)),'Preliminary SO66'!X58,VLOOKUP($CZ61,'Audit Values'!$A$2:$AE$439,24,FALSE))</f>
        <v>0</v>
      </c>
      <c r="AP61" s="188">
        <v>781510.99999999988</v>
      </c>
      <c r="AQ61" s="113">
        <f>AP61/Weightings!$M$5</f>
        <v>203.6</v>
      </c>
      <c r="AR61" s="113">
        <f t="shared" si="91"/>
        <v>1328.7</v>
      </c>
      <c r="AS61" s="1">
        <f t="shared" si="92"/>
        <v>1532.3</v>
      </c>
      <c r="AT61" s="1">
        <f t="shared" si="93"/>
        <v>1532.3</v>
      </c>
      <c r="AU61" s="2">
        <f t="shared" si="119"/>
        <v>0</v>
      </c>
      <c r="AV61" s="82">
        <f>IF(ISNA(VLOOKUP($CZ61,'Audit Values'!$A$2:$AC$360,2,FALSE)),"",IF(AND(Weightings!H61&gt;0,VLOOKUP($CZ61,'Audit Values'!$A$2:$AC$360,29,FALSE)&lt;Weightings!H61),Weightings!H61,VLOOKUP($CZ61,'Audit Values'!$A$2:$AC$360,29,FALSE)))</f>
        <v>25</v>
      </c>
      <c r="AW61" s="82" t="str">
        <f>IF(ISNA(VLOOKUP($CZ61,'Audit Values'!$A$2:$AD$360,2,FALSE)),"",VLOOKUP($CZ61,'Audit Values'!$A$2:$AD$360,30,FALSE))</f>
        <v>A</v>
      </c>
      <c r="AX61" s="82" t="str">
        <f>IF(Weightings!G61="","",IF(Weightings!I61="Pending","PX","R"))</f>
        <v>R</v>
      </c>
      <c r="AY61" s="114">
        <f>AR61*Weightings!$M$5+AU61</f>
        <v>5099551</v>
      </c>
      <c r="AZ61" s="2">
        <f>AT61*Weightings!$M$5+AU61</f>
        <v>5880967</v>
      </c>
      <c r="BA61" s="2">
        <f>IF(Weightings!G61&gt;0,Weightings!G61,'Preliminary SO66'!AB58)</f>
        <v>5957344</v>
      </c>
      <c r="BB61" s="2">
        <f t="shared" si="94"/>
        <v>5880967</v>
      </c>
      <c r="BC61" s="124"/>
      <c r="BD61" s="124">
        <f>Weightings!E61</f>
        <v>-817</v>
      </c>
      <c r="BE61" s="124">
        <f>Weightings!F61</f>
        <v>0</v>
      </c>
      <c r="BF61" s="2">
        <f t="shared" si="95"/>
        <v>-817</v>
      </c>
      <c r="BG61" s="2">
        <f t="shared" si="96"/>
        <v>5880150</v>
      </c>
      <c r="BH61" s="2">
        <f>MAX(ROUND(((AR61-AO61)*4433)+AP61,0),ROUND(((AR61-AO61)*4433)+Weightings!B61,0))</f>
        <v>6671638</v>
      </c>
      <c r="BI61" s="174">
        <v>0.3</v>
      </c>
      <c r="BJ61" s="2">
        <f t="shared" si="134"/>
        <v>2001491</v>
      </c>
      <c r="BK61" s="173">
        <v>1536000</v>
      </c>
      <c r="BL61" s="2">
        <f t="shared" si="98"/>
        <v>1536000</v>
      </c>
      <c r="BM61" s="3">
        <f t="shared" si="120"/>
        <v>0.23019999999999999</v>
      </c>
      <c r="BN61" s="1">
        <f t="shared" si="99"/>
        <v>0</v>
      </c>
      <c r="BO61" s="4" t="b">
        <f t="shared" si="100"/>
        <v>0</v>
      </c>
      <c r="BP61" s="5">
        <f t="shared" si="101"/>
        <v>0</v>
      </c>
      <c r="BQ61" s="6">
        <f t="shared" si="102"/>
        <v>0</v>
      </c>
      <c r="BR61" s="4">
        <f t="shared" si="103"/>
        <v>0</v>
      </c>
      <c r="BS61" s="4" t="b">
        <f t="shared" si="104"/>
        <v>1</v>
      </c>
      <c r="BT61" s="4">
        <f t="shared" si="105"/>
        <v>728.26880000000006</v>
      </c>
      <c r="BU61" s="6">
        <f t="shared" si="106"/>
        <v>0.284244</v>
      </c>
      <c r="BV61" s="1">
        <f t="shared" si="107"/>
        <v>252.6</v>
      </c>
      <c r="BW61" s="1">
        <f t="shared" si="108"/>
        <v>0</v>
      </c>
      <c r="BX61" s="116">
        <v>22</v>
      </c>
      <c r="BY61" s="7">
        <f t="shared" si="121"/>
        <v>4.2699999999999996</v>
      </c>
      <c r="BZ61" s="7">
        <f>IF(ROUND((Weightings!$P$5*BY61^Weightings!$P$6*Weightings!$P$8 ),2)&lt;Weightings!$P$7,Weightings!$P$7,ROUND((Weightings!$P$5*BY61^Weightings!$P$6*Weightings!$P$8 ),2))</f>
        <v>719.74</v>
      </c>
      <c r="CA61" s="8">
        <f>ROUND(BZ61/Weightings!$M$5,4)</f>
        <v>0.1875</v>
      </c>
      <c r="CB61" s="1">
        <f t="shared" si="122"/>
        <v>17.600000000000001</v>
      </c>
      <c r="CC61" s="173">
        <v>0</v>
      </c>
      <c r="CD61" s="173">
        <v>0</v>
      </c>
      <c r="CE61" s="173">
        <v>0</v>
      </c>
      <c r="CF61" s="177">
        <v>0</v>
      </c>
      <c r="CG61" s="2">
        <f>AS61*Weightings!$M$5*CF61</f>
        <v>0</v>
      </c>
      <c r="CH61" s="2">
        <f t="shared" si="123"/>
        <v>0</v>
      </c>
      <c r="CI61" s="117">
        <f t="shared" si="111"/>
        <v>0.36599999999999999</v>
      </c>
      <c r="CJ61" s="4">
        <f t="shared" si="112"/>
        <v>40.4</v>
      </c>
      <c r="CK61" s="1">
        <f t="shared" si="124"/>
        <v>0</v>
      </c>
      <c r="CL61" s="1">
        <f t="shared" si="125"/>
        <v>0</v>
      </c>
      <c r="CM61" s="1">
        <f t="shared" si="126"/>
        <v>3.6</v>
      </c>
      <c r="CN61" s="1">
        <f>IF(ISNA(VLOOKUP($CZ61,'Audit Values'!$A$2:$AE$439,2,FALSE)),'Preliminary SO66'!T58,VLOOKUP($CZ61,'Audit Values'!$A$2:$AE$439,20,FALSE))</f>
        <v>0</v>
      </c>
      <c r="CO61" s="1">
        <f t="shared" si="127"/>
        <v>0</v>
      </c>
      <c r="CP61" s="183">
        <v>0</v>
      </c>
      <c r="CQ61" s="1">
        <f t="shared" si="128"/>
        <v>0</v>
      </c>
      <c r="CR61" s="2">
        <f>IF(ISNA(VLOOKUP($CZ61,'Audit Values'!$A$2:$AE$439,2,FALSE)),'Preliminary SO66'!V58,VLOOKUP($CZ61,'Audit Values'!$A$2:$AE$439,22,FALSE))</f>
        <v>0</v>
      </c>
      <c r="CS61" s="1">
        <f t="shared" si="129"/>
        <v>0</v>
      </c>
      <c r="CT61" s="2">
        <f>IF(ISNA(VLOOKUP($CZ61,'Audit Values'!$A$2:$AE$439,2,FALSE)),'Preliminary SO66'!W58,VLOOKUP($CZ61,'Audit Values'!$A$2:$AE$439,23,FALSE))</f>
        <v>0</v>
      </c>
      <c r="CU61" s="1">
        <f t="shared" si="138"/>
        <v>0</v>
      </c>
      <c r="CV61" s="1">
        <f t="shared" si="139"/>
        <v>0</v>
      </c>
      <c r="CW61" s="176">
        <v>0</v>
      </c>
      <c r="CX61" s="2">
        <f>IF(CW61&gt;0,Weightings!$M$11*AR61,0)</f>
        <v>0</v>
      </c>
      <c r="CY61" s="2">
        <f t="shared" si="130"/>
        <v>0</v>
      </c>
      <c r="CZ61" s="108" t="s">
        <v>353</v>
      </c>
    </row>
    <row r="62" spans="1:104">
      <c r="A62" s="82">
        <v>250</v>
      </c>
      <c r="B62" s="4" t="s">
        <v>30</v>
      </c>
      <c r="C62" s="4" t="s">
        <v>689</v>
      </c>
      <c r="D62" s="1">
        <v>2686.4</v>
      </c>
      <c r="E62" s="1">
        <v>0</v>
      </c>
      <c r="F62" s="1">
        <f t="shared" si="135"/>
        <v>2686.4</v>
      </c>
      <c r="G62" s="1">
        <v>2716.8</v>
      </c>
      <c r="H62" s="1">
        <v>0</v>
      </c>
      <c r="I62" s="1">
        <f t="shared" si="116"/>
        <v>2716.8</v>
      </c>
      <c r="J62" s="1">
        <f t="shared" si="79"/>
        <v>2808.8</v>
      </c>
      <c r="K62" s="1">
        <f>IF(ISNA(VLOOKUP($CZ62,'Audit Values'!$A$2:$AE$439,2,FALSE)),'Preliminary SO66'!B59,VLOOKUP($CZ62,'Audit Values'!$A$2:$AE$439,31,FALSE))</f>
        <v>2806.8</v>
      </c>
      <c r="L62" s="1">
        <f t="shared" si="80"/>
        <v>2806.8</v>
      </c>
      <c r="M62" s="1">
        <f>IF(ISNA(VLOOKUP($CZ62,'Audit Values'!$A$2:$AE$439,2,FALSE)),'Preliminary SO66'!Z59,VLOOKUP($CZ62,'Audit Values'!$A$2:$AE$439,26,FALSE))</f>
        <v>0</v>
      </c>
      <c r="N62" s="1">
        <f t="shared" si="81"/>
        <v>2806.8</v>
      </c>
      <c r="O62" s="1">
        <f>IF(ISNA(VLOOKUP($CZ62,'Audit Values'!$A$2:$AE$439,2,FALSE)),'Preliminary SO66'!C59,IF(VLOOKUP($CZ62,'Audit Values'!$A$2:$AE$439,28,FALSE)="",VLOOKUP($CZ62,'Audit Values'!$A$2:$AE$439,3,FALSE),VLOOKUP($CZ62,'Audit Values'!$A$2:$AE$439,28,FALSE)))</f>
        <v>20</v>
      </c>
      <c r="P62" s="109">
        <f t="shared" si="82"/>
        <v>2826.8</v>
      </c>
      <c r="Q62" s="110">
        <f t="shared" si="83"/>
        <v>2828.8</v>
      </c>
      <c r="R62" s="111">
        <f t="shared" si="84"/>
        <v>2828.8</v>
      </c>
      <c r="S62" s="1">
        <f t="shared" si="85"/>
        <v>2826.8</v>
      </c>
      <c r="T62" s="1">
        <f t="shared" si="133"/>
        <v>2</v>
      </c>
      <c r="U62" s="1">
        <f t="shared" si="87"/>
        <v>99.1</v>
      </c>
      <c r="V62" s="1">
        <f t="shared" si="88"/>
        <v>0</v>
      </c>
      <c r="W62" s="1">
        <f t="shared" si="89"/>
        <v>99.1</v>
      </c>
      <c r="X62" s="1">
        <f>IF(ISNA(VLOOKUP($CZ62,'Audit Values'!$A$2:$AE$439,2,FALSE)),'Preliminary SO66'!D59,VLOOKUP($CZ62,'Audit Values'!$A$2:$AE$439,4,FALSE))</f>
        <v>370.3</v>
      </c>
      <c r="Y62" s="1">
        <f>ROUND((X62/6)*Weightings!$M$6,1)</f>
        <v>30.9</v>
      </c>
      <c r="Z62" s="1">
        <f>IF(ISNA(VLOOKUP($CZ62,'Audit Values'!$A$2:$AE$439,2,FALSE)),'Preliminary SO66'!F59,VLOOKUP($CZ62,'Audit Values'!$A$2:$AE$439,6,FALSE))</f>
        <v>735.4</v>
      </c>
      <c r="AA62" s="1">
        <f>ROUND((Z62/6)*Weightings!$M$7,1)</f>
        <v>48.4</v>
      </c>
      <c r="AB62" s="2">
        <f>IF(ISNA(VLOOKUP($CZ62,'Audit Values'!$A$2:$AE$439,2,FALSE)),'Preliminary SO66'!H59,VLOOKUP($CZ62,'Audit Values'!$A$2:$AE$439,8,FALSE))</f>
        <v>1727</v>
      </c>
      <c r="AC62" s="1">
        <f>ROUND(AB62*Weightings!$M$8,1)</f>
        <v>787.5</v>
      </c>
      <c r="AD62" s="1">
        <f t="shared" si="117"/>
        <v>181.3</v>
      </c>
      <c r="AE62" s="185">
        <v>188</v>
      </c>
      <c r="AF62" s="1">
        <f>AE62*Weightings!$M$9</f>
        <v>8.6999999999999993</v>
      </c>
      <c r="AG62" s="1">
        <f>IF(ISNA(VLOOKUP($CZ62,'Audit Values'!$A$2:$AE$439,2,FALSE)),'Preliminary SO66'!L59,VLOOKUP($CZ62,'Audit Values'!$A$2:$AE$439,12,FALSE))</f>
        <v>0</v>
      </c>
      <c r="AH62" s="1">
        <f>ROUND(AG62*Weightings!$M$10,1)</f>
        <v>0</v>
      </c>
      <c r="AI62" s="1">
        <f>IF(ISNA(VLOOKUP($CZ62,'Audit Values'!$A$2:$AE$439,2,FALSE)),'Preliminary SO66'!O59,VLOOKUP($CZ62,'Audit Values'!$A$2:$AE$439,15,FALSE))</f>
        <v>427.3</v>
      </c>
      <c r="AJ62" s="1">
        <f t="shared" si="90"/>
        <v>66.099999999999994</v>
      </c>
      <c r="AK62" s="1">
        <f>CC62/Weightings!$M$5</f>
        <v>0</v>
      </c>
      <c r="AL62" s="1">
        <f>CD62/Weightings!$M$5</f>
        <v>0</v>
      </c>
      <c r="AM62" s="1">
        <f>CH62/Weightings!$M$5</f>
        <v>0</v>
      </c>
      <c r="AN62" s="1">
        <f t="shared" si="118"/>
        <v>2.1</v>
      </c>
      <c r="AO62" s="1">
        <f>IF(ISNA(VLOOKUP($CZ62,'Audit Values'!$A$2:$AE$439,2,FALSE)),'Preliminary SO66'!X59,VLOOKUP($CZ62,'Audit Values'!$A$2:$AE$439,24,FALSE))</f>
        <v>0</v>
      </c>
      <c r="AP62" s="188">
        <v>2511013</v>
      </c>
      <c r="AQ62" s="113">
        <f>AP62/Weightings!$M$5</f>
        <v>654.29999999999995</v>
      </c>
      <c r="AR62" s="113">
        <f t="shared" si="91"/>
        <v>4050.9</v>
      </c>
      <c r="AS62" s="1">
        <f t="shared" si="92"/>
        <v>4705.2</v>
      </c>
      <c r="AT62" s="1">
        <f t="shared" si="93"/>
        <v>4705.2</v>
      </c>
      <c r="AU62" s="2">
        <f t="shared" si="119"/>
        <v>0</v>
      </c>
      <c r="AV62" s="82">
        <f>IF(ISNA(VLOOKUP($CZ62,'Audit Values'!$A$2:$AC$360,2,FALSE)),"",IF(AND(Weightings!H62&gt;0,VLOOKUP($CZ62,'Audit Values'!$A$2:$AC$360,29,FALSE)&lt;Weightings!H62),Weightings!H62,VLOOKUP($CZ62,'Audit Values'!$A$2:$AC$360,29,FALSE)))</f>
        <v>28</v>
      </c>
      <c r="AW62" s="82" t="str">
        <f>IF(ISNA(VLOOKUP($CZ62,'Audit Values'!$A$2:$AD$360,2,FALSE)),"",VLOOKUP($CZ62,'Audit Values'!$A$2:$AD$360,30,FALSE))</f>
        <v>A</v>
      </c>
      <c r="AX62" s="82" t="str">
        <f>IF(Weightings!G62="","",IF(Weightings!I62="Pending","PX","R"))</f>
        <v>R</v>
      </c>
      <c r="AY62" s="114">
        <f>AR62*Weightings!$M$5+AU62</f>
        <v>15547354</v>
      </c>
      <c r="AZ62" s="2">
        <f>AT62*Weightings!$M$5+AU62</f>
        <v>18058558</v>
      </c>
      <c r="BA62" s="2">
        <f>IF(Weightings!G62&gt;0,Weightings!G62,'Preliminary SO66'!AB59)</f>
        <v>18360608</v>
      </c>
      <c r="BB62" s="2">
        <f t="shared" si="94"/>
        <v>18058558</v>
      </c>
      <c r="BC62" s="124"/>
      <c r="BD62" s="124">
        <f>Weightings!E62</f>
        <v>-1794</v>
      </c>
      <c r="BE62" s="124">
        <f>Weightings!F62</f>
        <v>0</v>
      </c>
      <c r="BF62" s="2">
        <f t="shared" si="95"/>
        <v>-1794</v>
      </c>
      <c r="BG62" s="2">
        <f t="shared" si="96"/>
        <v>18056764</v>
      </c>
      <c r="BH62" s="2">
        <f>MAX(ROUND(((AR62-AO62)*4433)+AP62,0),ROUND(((AR62-AO62)*4433)+Weightings!B62,0))</f>
        <v>20468653</v>
      </c>
      <c r="BI62" s="174">
        <v>0.3</v>
      </c>
      <c r="BJ62" s="2">
        <f t="shared" si="134"/>
        <v>6140596</v>
      </c>
      <c r="BK62" s="173">
        <v>6056200</v>
      </c>
      <c r="BL62" s="2">
        <f t="shared" si="98"/>
        <v>6056200</v>
      </c>
      <c r="BM62" s="3">
        <f t="shared" si="120"/>
        <v>0.2959</v>
      </c>
      <c r="BN62" s="1">
        <f t="shared" si="99"/>
        <v>0</v>
      </c>
      <c r="BO62" s="4" t="b">
        <f t="shared" si="100"/>
        <v>0</v>
      </c>
      <c r="BP62" s="5">
        <f t="shared" si="101"/>
        <v>0</v>
      </c>
      <c r="BQ62" s="6">
        <f t="shared" si="102"/>
        <v>0</v>
      </c>
      <c r="BR62" s="4">
        <f t="shared" si="103"/>
        <v>0</v>
      </c>
      <c r="BS62" s="4" t="b">
        <f t="shared" si="104"/>
        <v>0</v>
      </c>
      <c r="BT62" s="4">
        <f t="shared" si="105"/>
        <v>0</v>
      </c>
      <c r="BU62" s="6">
        <f t="shared" si="106"/>
        <v>0</v>
      </c>
      <c r="BV62" s="1">
        <f t="shared" si="107"/>
        <v>0</v>
      </c>
      <c r="BW62" s="1">
        <f t="shared" si="108"/>
        <v>99.1</v>
      </c>
      <c r="BX62" s="116">
        <v>43</v>
      </c>
      <c r="BY62" s="7">
        <f t="shared" si="121"/>
        <v>9.94</v>
      </c>
      <c r="BZ62" s="7">
        <f>IF(ROUND((Weightings!$P$5*BY62^Weightings!$P$6*Weightings!$P$8 ),2)&lt;Weightings!$P$7,Weightings!$P$7,ROUND((Weightings!$P$5*BY62^Weightings!$P$6*Weightings!$P$8 ),2))</f>
        <v>593.57000000000005</v>
      </c>
      <c r="CA62" s="8">
        <f>ROUND(BZ62/Weightings!$M$5,4)</f>
        <v>0.1547</v>
      </c>
      <c r="CB62" s="1">
        <f t="shared" si="122"/>
        <v>66.099999999999994</v>
      </c>
      <c r="CC62" s="173">
        <v>0</v>
      </c>
      <c r="CD62" s="173">
        <v>0</v>
      </c>
      <c r="CE62" s="173">
        <v>0</v>
      </c>
      <c r="CF62" s="177">
        <v>0</v>
      </c>
      <c r="CG62" s="2">
        <f>AS62*Weightings!$M$5*CF62</f>
        <v>0</v>
      </c>
      <c r="CH62" s="2">
        <f t="shared" si="123"/>
        <v>0</v>
      </c>
      <c r="CI62" s="117">
        <f t="shared" si="111"/>
        <v>0.61099999999999999</v>
      </c>
      <c r="CJ62" s="4">
        <f t="shared" si="112"/>
        <v>65.7</v>
      </c>
      <c r="CK62" s="1">
        <f t="shared" si="124"/>
        <v>181.3</v>
      </c>
      <c r="CL62" s="1">
        <f t="shared" si="125"/>
        <v>0</v>
      </c>
      <c r="CM62" s="1">
        <f t="shared" si="126"/>
        <v>0</v>
      </c>
      <c r="CN62" s="1">
        <f>IF(ISNA(VLOOKUP($CZ62,'Audit Values'!$A$2:$AE$439,2,FALSE)),'Preliminary SO66'!T59,VLOOKUP($CZ62,'Audit Values'!$A$2:$AE$439,20,FALSE))</f>
        <v>2</v>
      </c>
      <c r="CO62" s="1">
        <f t="shared" si="127"/>
        <v>2.1</v>
      </c>
      <c r="CP62" s="183">
        <v>0</v>
      </c>
      <c r="CQ62" s="1">
        <f t="shared" si="128"/>
        <v>0</v>
      </c>
      <c r="CR62" s="2">
        <f>IF(ISNA(VLOOKUP($CZ62,'Audit Values'!$A$2:$AE$439,2,FALSE)),'Preliminary SO66'!V59,VLOOKUP($CZ62,'Audit Values'!$A$2:$AE$439,22,FALSE))</f>
        <v>0</v>
      </c>
      <c r="CS62" s="1">
        <f t="shared" si="129"/>
        <v>0</v>
      </c>
      <c r="CT62" s="2">
        <f>IF(ISNA(VLOOKUP($CZ62,'Audit Values'!$A$2:$AE$439,2,FALSE)),'Preliminary SO66'!W59,VLOOKUP($CZ62,'Audit Values'!$A$2:$AE$439,23,FALSE))</f>
        <v>0</v>
      </c>
      <c r="CU62" s="1">
        <f t="shared" si="138"/>
        <v>0</v>
      </c>
      <c r="CV62" s="1">
        <f t="shared" si="139"/>
        <v>2.1</v>
      </c>
      <c r="CW62" s="176">
        <v>0</v>
      </c>
      <c r="CX62" s="2">
        <f>IF(CW62&gt;0,Weightings!$M$11*AR62,0)</f>
        <v>0</v>
      </c>
      <c r="CY62" s="2">
        <f t="shared" si="130"/>
        <v>0</v>
      </c>
      <c r="CZ62" s="108" t="s">
        <v>354</v>
      </c>
    </row>
    <row r="63" spans="1:104">
      <c r="A63" s="82">
        <v>251</v>
      </c>
      <c r="B63" s="4" t="s">
        <v>32</v>
      </c>
      <c r="C63" s="4" t="s">
        <v>690</v>
      </c>
      <c r="D63" s="1">
        <v>418</v>
      </c>
      <c r="E63" s="1">
        <v>0</v>
      </c>
      <c r="F63" s="1">
        <f t="shared" si="135"/>
        <v>418</v>
      </c>
      <c r="G63" s="1">
        <v>428</v>
      </c>
      <c r="H63" s="1">
        <v>0</v>
      </c>
      <c r="I63" s="1">
        <f t="shared" si="116"/>
        <v>428</v>
      </c>
      <c r="J63" s="1">
        <f t="shared" si="79"/>
        <v>432.8</v>
      </c>
      <c r="K63" s="1">
        <f>IF(ISNA(VLOOKUP($CZ63,'Audit Values'!$A$2:$AE$439,2,FALSE)),'Preliminary SO66'!B60,VLOOKUP($CZ63,'Audit Values'!$A$2:$AE$439,31,FALSE))</f>
        <v>432.8</v>
      </c>
      <c r="L63" s="1">
        <f t="shared" si="80"/>
        <v>432.8</v>
      </c>
      <c r="M63" s="1">
        <f>IF(ISNA(VLOOKUP($CZ63,'Audit Values'!$A$2:$AE$439,2,FALSE)),'Preliminary SO66'!Z60,VLOOKUP($CZ63,'Audit Values'!$A$2:$AE$439,26,FALSE))</f>
        <v>0</v>
      </c>
      <c r="N63" s="1">
        <f t="shared" si="81"/>
        <v>432.8</v>
      </c>
      <c r="O63" s="1">
        <f>IF(ISNA(VLOOKUP($CZ63,'Audit Values'!$A$2:$AE$439,2,FALSE)),'Preliminary SO66'!C60,IF(VLOOKUP($CZ63,'Audit Values'!$A$2:$AE$439,28,FALSE)="",VLOOKUP($CZ63,'Audit Values'!$A$2:$AE$439,3,FALSE),VLOOKUP($CZ63,'Audit Values'!$A$2:$AE$439,28,FALSE)))</f>
        <v>0</v>
      </c>
      <c r="P63" s="109">
        <f t="shared" si="82"/>
        <v>432.8</v>
      </c>
      <c r="Q63" s="110">
        <f t="shared" si="83"/>
        <v>432.8</v>
      </c>
      <c r="R63" s="111">
        <f t="shared" si="84"/>
        <v>432.8</v>
      </c>
      <c r="S63" s="1">
        <f t="shared" si="85"/>
        <v>432.8</v>
      </c>
      <c r="T63" s="1">
        <f t="shared" si="133"/>
        <v>0</v>
      </c>
      <c r="U63" s="1">
        <f t="shared" si="87"/>
        <v>190</v>
      </c>
      <c r="V63" s="1">
        <f t="shared" si="88"/>
        <v>190</v>
      </c>
      <c r="W63" s="1">
        <f t="shared" si="89"/>
        <v>0</v>
      </c>
      <c r="X63" s="1">
        <f>IF(ISNA(VLOOKUP($CZ63,'Audit Values'!$A$2:$AE$439,2,FALSE)),'Preliminary SO66'!D60,VLOOKUP($CZ63,'Audit Values'!$A$2:$AE$439,4,FALSE))</f>
        <v>74.3</v>
      </c>
      <c r="Y63" s="1">
        <f>ROUND((X63/6)*Weightings!$M$6,1)</f>
        <v>6.2</v>
      </c>
      <c r="Z63" s="1">
        <f>IF(ISNA(VLOOKUP($CZ63,'Audit Values'!$A$2:$AE$439,2,FALSE)),'Preliminary SO66'!F60,VLOOKUP($CZ63,'Audit Values'!$A$2:$AE$439,6,FALSE))</f>
        <v>0</v>
      </c>
      <c r="AA63" s="1">
        <f>ROUND((Z63/6)*Weightings!$M$7,1)</f>
        <v>0</v>
      </c>
      <c r="AB63" s="2">
        <f>IF(ISNA(VLOOKUP($CZ63,'Audit Values'!$A$2:$AE$439,2,FALSE)),'Preliminary SO66'!H60,VLOOKUP($CZ63,'Audit Values'!$A$2:$AE$439,8,FALSE))</f>
        <v>203</v>
      </c>
      <c r="AC63" s="1">
        <f>ROUND(AB63*Weightings!$M$8,1)</f>
        <v>92.6</v>
      </c>
      <c r="AD63" s="1">
        <f t="shared" si="117"/>
        <v>16.899999999999999</v>
      </c>
      <c r="AE63" s="185">
        <v>27</v>
      </c>
      <c r="AF63" s="1">
        <f>AE63*Weightings!$M$9</f>
        <v>1.3</v>
      </c>
      <c r="AG63" s="1">
        <f>IF(ISNA(VLOOKUP($CZ63,'Audit Values'!$A$2:$AE$439,2,FALSE)),'Preliminary SO66'!L60,VLOOKUP($CZ63,'Audit Values'!$A$2:$AE$439,12,FALSE))</f>
        <v>0</v>
      </c>
      <c r="AH63" s="1">
        <f>ROUND(AG63*Weightings!$M$10,1)</f>
        <v>0</v>
      </c>
      <c r="AI63" s="1">
        <f>IF(ISNA(VLOOKUP($CZ63,'Audit Values'!$A$2:$AE$439,2,FALSE)),'Preliminary SO66'!O60,VLOOKUP($CZ63,'Audit Values'!$A$2:$AE$439,15,FALSE))</f>
        <v>261.10000000000002</v>
      </c>
      <c r="AJ63" s="1">
        <f t="shared" si="90"/>
        <v>76.599999999999994</v>
      </c>
      <c r="AK63" s="1">
        <f>CC63/Weightings!$M$5</f>
        <v>0</v>
      </c>
      <c r="AL63" s="1">
        <f>CD63/Weightings!$M$5</f>
        <v>0</v>
      </c>
      <c r="AM63" s="1">
        <f>CH63/Weightings!$M$5</f>
        <v>0</v>
      </c>
      <c r="AN63" s="1">
        <f t="shared" si="118"/>
        <v>0</v>
      </c>
      <c r="AO63" s="1">
        <f>IF(ISNA(VLOOKUP($CZ63,'Audit Values'!$A$2:$AE$439,2,FALSE)),'Preliminary SO66'!X60,VLOOKUP($CZ63,'Audit Values'!$A$2:$AE$439,24,FALSE))</f>
        <v>0</v>
      </c>
      <c r="AP63" s="188">
        <v>473478</v>
      </c>
      <c r="AQ63" s="113">
        <f>AP63/Weightings!$M$5</f>
        <v>123.4</v>
      </c>
      <c r="AR63" s="113">
        <f t="shared" si="91"/>
        <v>816.4</v>
      </c>
      <c r="AS63" s="1">
        <f t="shared" si="92"/>
        <v>939.8</v>
      </c>
      <c r="AT63" s="1">
        <f t="shared" si="93"/>
        <v>939.8</v>
      </c>
      <c r="AU63" s="2">
        <f t="shared" si="119"/>
        <v>0</v>
      </c>
      <c r="AV63" s="82">
        <f>IF(ISNA(VLOOKUP($CZ63,'Audit Values'!$A$2:$AC$360,2,FALSE)),"",IF(AND(Weightings!H63&gt;0,VLOOKUP($CZ63,'Audit Values'!$A$2:$AC$360,29,FALSE)&lt;Weightings!H63),Weightings!H63,VLOOKUP($CZ63,'Audit Values'!$A$2:$AC$360,29,FALSE)))</f>
        <v>13</v>
      </c>
      <c r="AW63" s="82" t="str">
        <f>IF(ISNA(VLOOKUP($CZ63,'Audit Values'!$A$2:$AD$360,2,FALSE)),"",VLOOKUP($CZ63,'Audit Values'!$A$2:$AD$360,30,FALSE))</f>
        <v>A</v>
      </c>
      <c r="AX63" s="82" t="str">
        <f>IF(Weightings!G63="","",IF(Weightings!I63="Pending","PX","R"))</f>
        <v/>
      </c>
      <c r="AY63" s="114">
        <f>AR63*Weightings!$M$5+AU63</f>
        <v>3133343</v>
      </c>
      <c r="AZ63" s="2">
        <f>AT63*Weightings!$M$5+AU63</f>
        <v>3606952</v>
      </c>
      <c r="BA63" s="2">
        <f>IF(Weightings!G63&gt;0,Weightings!G63,'Preliminary SO66'!AB60)</f>
        <v>3666441</v>
      </c>
      <c r="BB63" s="2">
        <f t="shared" si="94"/>
        <v>3606952</v>
      </c>
      <c r="BC63" s="124"/>
      <c r="BD63" s="124">
        <f>Weightings!E63</f>
        <v>-2205</v>
      </c>
      <c r="BE63" s="124">
        <f>Weightings!F63</f>
        <v>0</v>
      </c>
      <c r="BF63" s="2">
        <f t="shared" si="95"/>
        <v>-2205</v>
      </c>
      <c r="BG63" s="2">
        <f t="shared" si="96"/>
        <v>3604747</v>
      </c>
      <c r="BH63" s="2">
        <f>MAX(ROUND(((AR63-AO63)*4433)+AP63,0),ROUND(((AR63-AO63)*4433)+Weightings!B63,0))</f>
        <v>4092579</v>
      </c>
      <c r="BI63" s="174">
        <v>0.3</v>
      </c>
      <c r="BJ63" s="2">
        <f t="shared" si="134"/>
        <v>1227774</v>
      </c>
      <c r="BK63" s="173">
        <v>1248312</v>
      </c>
      <c r="BL63" s="2">
        <f t="shared" si="98"/>
        <v>1227774</v>
      </c>
      <c r="BM63" s="3">
        <f t="shared" si="120"/>
        <v>0.3</v>
      </c>
      <c r="BN63" s="1">
        <f t="shared" si="99"/>
        <v>0</v>
      </c>
      <c r="BO63" s="4" t="b">
        <f t="shared" si="100"/>
        <v>0</v>
      </c>
      <c r="BP63" s="5">
        <f t="shared" si="101"/>
        <v>0</v>
      </c>
      <c r="BQ63" s="6">
        <f t="shared" si="102"/>
        <v>0</v>
      </c>
      <c r="BR63" s="4">
        <f t="shared" si="103"/>
        <v>0</v>
      </c>
      <c r="BS63" s="4" t="b">
        <f t="shared" si="104"/>
        <v>1</v>
      </c>
      <c r="BT63" s="4">
        <f t="shared" si="105"/>
        <v>164.34</v>
      </c>
      <c r="BU63" s="6">
        <f t="shared" si="106"/>
        <v>0.43906800000000001</v>
      </c>
      <c r="BV63" s="1">
        <f t="shared" si="107"/>
        <v>190</v>
      </c>
      <c r="BW63" s="1">
        <f t="shared" si="108"/>
        <v>0</v>
      </c>
      <c r="BX63" s="116">
        <v>434</v>
      </c>
      <c r="BY63" s="7">
        <f t="shared" si="121"/>
        <v>0.6</v>
      </c>
      <c r="BZ63" s="7">
        <f>IF(ROUND((Weightings!$P$5*BY63^Weightings!$P$6*Weightings!$P$8 ),2)&lt;Weightings!$P$7,Weightings!$P$7,ROUND((Weightings!$P$5*BY63^Weightings!$P$6*Weightings!$P$8 ),2))</f>
        <v>1126.0999999999999</v>
      </c>
      <c r="CA63" s="8">
        <f>ROUND(BZ63/Weightings!$M$5,4)</f>
        <v>0.29339999999999999</v>
      </c>
      <c r="CB63" s="1">
        <f t="shared" si="122"/>
        <v>76.599999999999994</v>
      </c>
      <c r="CC63" s="173">
        <v>0</v>
      </c>
      <c r="CD63" s="173">
        <v>0</v>
      </c>
      <c r="CE63" s="173">
        <v>0</v>
      </c>
      <c r="CF63" s="177">
        <v>0</v>
      </c>
      <c r="CG63" s="2">
        <f>AS63*Weightings!$M$5*CF63</f>
        <v>0</v>
      </c>
      <c r="CH63" s="2">
        <f t="shared" si="123"/>
        <v>0</v>
      </c>
      <c r="CI63" s="117">
        <f t="shared" si="111"/>
        <v>0.46899999999999997</v>
      </c>
      <c r="CJ63" s="4">
        <f t="shared" si="112"/>
        <v>1</v>
      </c>
      <c r="CK63" s="1">
        <f t="shared" si="124"/>
        <v>0</v>
      </c>
      <c r="CL63" s="1">
        <f t="shared" si="125"/>
        <v>0</v>
      </c>
      <c r="CM63" s="1">
        <f t="shared" si="126"/>
        <v>16.899999999999999</v>
      </c>
      <c r="CN63" s="1">
        <f>IF(ISNA(VLOOKUP($CZ63,'Audit Values'!$A$2:$AE$439,2,FALSE)),'Preliminary SO66'!T60,VLOOKUP($CZ63,'Audit Values'!$A$2:$AE$439,20,FALSE))</f>
        <v>0</v>
      </c>
      <c r="CO63" s="1">
        <f t="shared" si="127"/>
        <v>0</v>
      </c>
      <c r="CP63" s="181">
        <v>0</v>
      </c>
      <c r="CQ63" s="1">
        <f t="shared" si="128"/>
        <v>0</v>
      </c>
      <c r="CR63" s="2">
        <f>IF(ISNA(VLOOKUP($CZ63,'Audit Values'!$A$2:$AE$439,2,FALSE)),'Preliminary SO66'!V60,VLOOKUP($CZ63,'Audit Values'!$A$2:$AE$439,22,FALSE))</f>
        <v>0</v>
      </c>
      <c r="CS63" s="1">
        <f t="shared" si="129"/>
        <v>0</v>
      </c>
      <c r="CT63" s="2">
        <f>IF(ISNA(VLOOKUP($CZ63,'Audit Values'!$A$2:$AE$439,2,FALSE)),'Preliminary SO66'!W60,VLOOKUP($CZ63,'Audit Values'!$A$2:$AE$439,23,FALSE))</f>
        <v>0</v>
      </c>
      <c r="CU63" s="1">
        <f t="shared" si="138"/>
        <v>0</v>
      </c>
      <c r="CV63" s="1">
        <f t="shared" si="139"/>
        <v>0</v>
      </c>
      <c r="CW63" s="176">
        <v>0</v>
      </c>
      <c r="CX63" s="2">
        <f>IF(CW63&gt;0,Weightings!$M$11*AR63,0)</f>
        <v>0</v>
      </c>
      <c r="CY63" s="2">
        <f t="shared" si="130"/>
        <v>0</v>
      </c>
      <c r="CZ63" s="108" t="s">
        <v>355</v>
      </c>
    </row>
    <row r="64" spans="1:104">
      <c r="A64" s="82">
        <v>252</v>
      </c>
      <c r="B64" s="4" t="s">
        <v>32</v>
      </c>
      <c r="C64" s="4" t="s">
        <v>691</v>
      </c>
      <c r="D64" s="1">
        <v>499.5</v>
      </c>
      <c r="E64" s="1">
        <v>0</v>
      </c>
      <c r="F64" s="1">
        <f t="shared" si="135"/>
        <v>499.5</v>
      </c>
      <c r="G64" s="1">
        <v>508.2</v>
      </c>
      <c r="H64" s="1">
        <v>0</v>
      </c>
      <c r="I64" s="1">
        <f t="shared" si="116"/>
        <v>508.2</v>
      </c>
      <c r="J64" s="1">
        <f t="shared" si="79"/>
        <v>514.5</v>
      </c>
      <c r="K64" s="1">
        <f>IF(ISNA(VLOOKUP($CZ64,'Audit Values'!$A$2:$AE$439,2,FALSE)),'Preliminary SO66'!B61,VLOOKUP($CZ64,'Audit Values'!$A$2:$AE$439,31,FALSE))</f>
        <v>514.5</v>
      </c>
      <c r="L64" s="1">
        <f t="shared" si="80"/>
        <v>514.5</v>
      </c>
      <c r="M64" s="1">
        <f>IF(ISNA(VLOOKUP($CZ64,'Audit Values'!$A$2:$AE$439,2,FALSE)),'Preliminary SO66'!Z61,VLOOKUP($CZ64,'Audit Values'!$A$2:$AE$439,26,FALSE))</f>
        <v>0</v>
      </c>
      <c r="N64" s="1">
        <f t="shared" si="81"/>
        <v>514.5</v>
      </c>
      <c r="O64" s="1">
        <f>IF(ISNA(VLOOKUP($CZ64,'Audit Values'!$A$2:$AE$439,2,FALSE)),'Preliminary SO66'!C61,IF(VLOOKUP($CZ64,'Audit Values'!$A$2:$AE$439,28,FALSE)="",VLOOKUP($CZ64,'Audit Values'!$A$2:$AE$439,3,FALSE),VLOOKUP($CZ64,'Audit Values'!$A$2:$AE$439,28,FALSE)))</f>
        <v>4</v>
      </c>
      <c r="P64" s="109">
        <f t="shared" si="82"/>
        <v>518.5</v>
      </c>
      <c r="Q64" s="110">
        <f t="shared" si="83"/>
        <v>518.5</v>
      </c>
      <c r="R64" s="111">
        <f t="shared" si="84"/>
        <v>518.5</v>
      </c>
      <c r="S64" s="1">
        <f t="shared" si="85"/>
        <v>518.5</v>
      </c>
      <c r="T64" s="1">
        <f t="shared" si="133"/>
        <v>0</v>
      </c>
      <c r="U64" s="1">
        <f t="shared" si="87"/>
        <v>212.6</v>
      </c>
      <c r="V64" s="1">
        <f t="shared" si="88"/>
        <v>212.6</v>
      </c>
      <c r="W64" s="1">
        <f t="shared" si="89"/>
        <v>0</v>
      </c>
      <c r="X64" s="1">
        <f>IF(ISNA(VLOOKUP($CZ64,'Audit Values'!$A$2:$AE$439,2,FALSE)),'Preliminary SO66'!D61,VLOOKUP($CZ64,'Audit Values'!$A$2:$AE$439,4,FALSE))</f>
        <v>191.5</v>
      </c>
      <c r="Y64" s="1">
        <f>ROUND((X64/6)*Weightings!$M$6,1)</f>
        <v>16</v>
      </c>
      <c r="Z64" s="1">
        <f>IF(ISNA(VLOOKUP($CZ64,'Audit Values'!$A$2:$AE$439,2,FALSE)),'Preliminary SO66'!F61,VLOOKUP($CZ64,'Audit Values'!$A$2:$AE$439,6,FALSE))</f>
        <v>0</v>
      </c>
      <c r="AA64" s="1">
        <f>ROUND((Z64/6)*Weightings!$M$7,1)</f>
        <v>0</v>
      </c>
      <c r="AB64" s="2">
        <f>IF(ISNA(VLOOKUP($CZ64,'Audit Values'!$A$2:$AE$439,2,FALSE)),'Preliminary SO66'!H61,VLOOKUP($CZ64,'Audit Values'!$A$2:$AE$439,8,FALSE))</f>
        <v>186</v>
      </c>
      <c r="AC64" s="1">
        <f>ROUND(AB64*Weightings!$M$8,1)</f>
        <v>84.8</v>
      </c>
      <c r="AD64" s="1">
        <f t="shared" si="117"/>
        <v>1.2</v>
      </c>
      <c r="AE64" s="185">
        <v>28</v>
      </c>
      <c r="AF64" s="1">
        <f>AE64*Weightings!$M$9</f>
        <v>1.3</v>
      </c>
      <c r="AG64" s="1">
        <f>IF(ISNA(VLOOKUP($CZ64,'Audit Values'!$A$2:$AE$439,2,FALSE)),'Preliminary SO66'!L61,VLOOKUP($CZ64,'Audit Values'!$A$2:$AE$439,12,FALSE))</f>
        <v>0</v>
      </c>
      <c r="AH64" s="1">
        <f>ROUND(AG64*Weightings!$M$10,1)</f>
        <v>0</v>
      </c>
      <c r="AI64" s="1">
        <f>IF(ISNA(VLOOKUP($CZ64,'Audit Values'!$A$2:$AE$439,2,FALSE)),'Preliminary SO66'!O61,VLOOKUP($CZ64,'Audit Values'!$A$2:$AE$439,15,FALSE))</f>
        <v>233</v>
      </c>
      <c r="AJ64" s="1">
        <f t="shared" si="90"/>
        <v>64.2</v>
      </c>
      <c r="AK64" s="1">
        <f>CC64/Weightings!$M$5</f>
        <v>0</v>
      </c>
      <c r="AL64" s="1">
        <f>CD64/Weightings!$M$5</f>
        <v>0</v>
      </c>
      <c r="AM64" s="1">
        <f>CH64/Weightings!$M$5</f>
        <v>0</v>
      </c>
      <c r="AN64" s="1">
        <f t="shared" si="118"/>
        <v>0</v>
      </c>
      <c r="AO64" s="1">
        <f>IF(ISNA(VLOOKUP($CZ64,'Audit Values'!$A$2:$AE$439,2,FALSE)),'Preliminary SO66'!X61,VLOOKUP($CZ64,'Audit Values'!$A$2:$AE$439,24,FALSE))</f>
        <v>0</v>
      </c>
      <c r="AP64" s="188">
        <v>579667</v>
      </c>
      <c r="AQ64" s="113">
        <f>AP64/Weightings!$M$5</f>
        <v>151</v>
      </c>
      <c r="AR64" s="113">
        <f t="shared" si="91"/>
        <v>898.6</v>
      </c>
      <c r="AS64" s="1">
        <f t="shared" si="92"/>
        <v>1049.5999999999999</v>
      </c>
      <c r="AT64" s="1">
        <f t="shared" si="93"/>
        <v>1049.5999999999999</v>
      </c>
      <c r="AU64" s="2">
        <f t="shared" si="119"/>
        <v>0</v>
      </c>
      <c r="AV64" s="82">
        <f>IF(ISNA(VLOOKUP($CZ64,'Audit Values'!$A$2:$AC$360,2,FALSE)),"",IF(AND(Weightings!H64&gt;0,VLOOKUP($CZ64,'Audit Values'!$A$2:$AC$360,29,FALSE)&lt;Weightings!H64),Weightings!H64,VLOOKUP($CZ64,'Audit Values'!$A$2:$AC$360,29,FALSE)))</f>
        <v>26</v>
      </c>
      <c r="AW64" s="82" t="str">
        <f>IF(ISNA(VLOOKUP($CZ64,'Audit Values'!$A$2:$AD$360,2,FALSE)),"",VLOOKUP($CZ64,'Audit Values'!$A$2:$AD$360,30,FALSE))</f>
        <v>A</v>
      </c>
      <c r="AX64" s="82" t="str">
        <f>IF(Weightings!G64="","",IF(Weightings!I64="Pending","PX","R"))</f>
        <v/>
      </c>
      <c r="AY64" s="114">
        <f>AR64*Weightings!$M$5+AU64</f>
        <v>3448827</v>
      </c>
      <c r="AZ64" s="2">
        <f>AT64*Weightings!$M$5+AU64</f>
        <v>4028365</v>
      </c>
      <c r="BA64" s="2">
        <f>IF(Weightings!G64&gt;0,Weightings!G64,'Preliminary SO66'!AB61)</f>
        <v>4147343</v>
      </c>
      <c r="BB64" s="2">
        <f t="shared" si="94"/>
        <v>4028365</v>
      </c>
      <c r="BC64" s="124"/>
      <c r="BD64" s="124">
        <f>Weightings!E64</f>
        <v>-3187</v>
      </c>
      <c r="BE64" s="124">
        <f>Weightings!F64</f>
        <v>0</v>
      </c>
      <c r="BF64" s="2">
        <f t="shared" si="95"/>
        <v>-3187</v>
      </c>
      <c r="BG64" s="2">
        <f t="shared" si="96"/>
        <v>4025178</v>
      </c>
      <c r="BH64" s="2">
        <f>MAX(ROUND(((AR64-AO64)*4433)+AP64,0),ROUND(((AR64-AO64)*4433)+Weightings!B64,0))</f>
        <v>4563161</v>
      </c>
      <c r="BI64" s="174">
        <v>0.3</v>
      </c>
      <c r="BJ64" s="2">
        <f t="shared" si="134"/>
        <v>1368948</v>
      </c>
      <c r="BK64" s="173">
        <v>1409791</v>
      </c>
      <c r="BL64" s="2">
        <f t="shared" si="98"/>
        <v>1368948</v>
      </c>
      <c r="BM64" s="3">
        <f t="shared" si="120"/>
        <v>0.3</v>
      </c>
      <c r="BN64" s="1">
        <f t="shared" si="99"/>
        <v>0</v>
      </c>
      <c r="BO64" s="4" t="b">
        <f t="shared" si="100"/>
        <v>0</v>
      </c>
      <c r="BP64" s="5">
        <f t="shared" si="101"/>
        <v>0</v>
      </c>
      <c r="BQ64" s="6">
        <f t="shared" si="102"/>
        <v>0</v>
      </c>
      <c r="BR64" s="4">
        <f t="shared" si="103"/>
        <v>0</v>
      </c>
      <c r="BS64" s="4" t="b">
        <f t="shared" si="104"/>
        <v>1</v>
      </c>
      <c r="BT64" s="4">
        <f t="shared" si="105"/>
        <v>270.3938</v>
      </c>
      <c r="BU64" s="6">
        <f t="shared" si="106"/>
        <v>0.40995100000000001</v>
      </c>
      <c r="BV64" s="1">
        <f t="shared" si="107"/>
        <v>212.6</v>
      </c>
      <c r="BW64" s="1">
        <f t="shared" si="108"/>
        <v>0</v>
      </c>
      <c r="BX64" s="116">
        <v>295</v>
      </c>
      <c r="BY64" s="7">
        <f t="shared" si="121"/>
        <v>0.79</v>
      </c>
      <c r="BZ64" s="7">
        <f>IF(ROUND((Weightings!$P$5*BY64^Weightings!$P$6*Weightings!$P$8 ),2)&lt;Weightings!$P$7,Weightings!$P$7,ROUND((Weightings!$P$5*BY64^Weightings!$P$6*Weightings!$P$8 ),2))</f>
        <v>1057.6099999999999</v>
      </c>
      <c r="CA64" s="8">
        <f>ROUND(BZ64/Weightings!$M$5,4)</f>
        <v>0.27560000000000001</v>
      </c>
      <c r="CB64" s="1">
        <f t="shared" si="122"/>
        <v>64.2</v>
      </c>
      <c r="CC64" s="173">
        <v>0</v>
      </c>
      <c r="CD64" s="173">
        <v>0</v>
      </c>
      <c r="CE64" s="173">
        <v>0</v>
      </c>
      <c r="CF64" s="177">
        <v>0</v>
      </c>
      <c r="CG64" s="2">
        <f>AS64*Weightings!$M$5*CF64</f>
        <v>0</v>
      </c>
      <c r="CH64" s="2">
        <f t="shared" si="123"/>
        <v>0</v>
      </c>
      <c r="CI64" s="117">
        <f t="shared" si="111"/>
        <v>0.35899999999999999</v>
      </c>
      <c r="CJ64" s="4">
        <f t="shared" si="112"/>
        <v>1.8</v>
      </c>
      <c r="CK64" s="1">
        <f t="shared" si="124"/>
        <v>0</v>
      </c>
      <c r="CL64" s="1">
        <f t="shared" si="125"/>
        <v>0</v>
      </c>
      <c r="CM64" s="1">
        <f t="shared" si="126"/>
        <v>1.2</v>
      </c>
      <c r="CN64" s="1">
        <f>IF(ISNA(VLOOKUP($CZ64,'Audit Values'!$A$2:$AE$439,2,FALSE)),'Preliminary SO66'!T61,VLOOKUP($CZ64,'Audit Values'!$A$2:$AE$439,20,FALSE))</f>
        <v>0</v>
      </c>
      <c r="CO64" s="1">
        <f t="shared" si="127"/>
        <v>0</v>
      </c>
      <c r="CP64" s="183">
        <v>0</v>
      </c>
      <c r="CQ64" s="1">
        <f t="shared" si="128"/>
        <v>0</v>
      </c>
      <c r="CR64" s="2">
        <f>IF(ISNA(VLOOKUP($CZ64,'Audit Values'!$A$2:$AE$439,2,FALSE)),'Preliminary SO66'!V61,VLOOKUP($CZ64,'Audit Values'!$A$2:$AE$439,22,FALSE))</f>
        <v>0</v>
      </c>
      <c r="CS64" s="1">
        <f t="shared" si="129"/>
        <v>0</v>
      </c>
      <c r="CT64" s="2">
        <f>IF(ISNA(VLOOKUP($CZ64,'Audit Values'!$A$2:$AE$439,2,FALSE)),'Preliminary SO66'!W61,VLOOKUP($CZ64,'Audit Values'!$A$2:$AE$439,23,FALSE))</f>
        <v>0</v>
      </c>
      <c r="CU64" s="1">
        <f t="shared" si="138"/>
        <v>0</v>
      </c>
      <c r="CV64" s="1">
        <f t="shared" si="139"/>
        <v>0</v>
      </c>
      <c r="CW64" s="176">
        <v>0</v>
      </c>
      <c r="CX64" s="2">
        <f>IF(CW64&gt;0,Weightings!$M$11*AR64,0)</f>
        <v>0</v>
      </c>
      <c r="CY64" s="2">
        <f t="shared" si="130"/>
        <v>0</v>
      </c>
      <c r="CZ64" s="108" t="s">
        <v>356</v>
      </c>
    </row>
    <row r="65" spans="1:104">
      <c r="A65" s="82">
        <v>253</v>
      </c>
      <c r="B65" s="4" t="s">
        <v>32</v>
      </c>
      <c r="C65" s="4" t="s">
        <v>692</v>
      </c>
      <c r="D65" s="1">
        <v>4191.1000000000004</v>
      </c>
      <c r="E65" s="1">
        <v>0</v>
      </c>
      <c r="F65" s="1">
        <f t="shared" si="135"/>
        <v>4191.1000000000004</v>
      </c>
      <c r="G65" s="1">
        <v>4179.6000000000004</v>
      </c>
      <c r="H65" s="1">
        <v>0</v>
      </c>
      <c r="I65" s="1">
        <f t="shared" si="116"/>
        <v>4179.6000000000004</v>
      </c>
      <c r="J65" s="1">
        <f t="shared" si="79"/>
        <v>4213.8</v>
      </c>
      <c r="K65" s="1">
        <f>IF(ISNA(VLOOKUP($CZ65,'Audit Values'!$A$2:$AE$439,2,FALSE)),'Preliminary SO66'!B62,VLOOKUP($CZ65,'Audit Values'!$A$2:$AE$439,31,FALSE))</f>
        <v>4210.1000000000004</v>
      </c>
      <c r="L65" s="1">
        <f t="shared" si="80"/>
        <v>4210.1000000000004</v>
      </c>
      <c r="M65" s="1">
        <f>IF(ISNA(VLOOKUP($CZ65,'Audit Values'!$A$2:$AE$439,2,FALSE)),'Preliminary SO66'!Z62,VLOOKUP($CZ65,'Audit Values'!$A$2:$AE$439,26,FALSE))</f>
        <v>0</v>
      </c>
      <c r="N65" s="1">
        <f t="shared" si="81"/>
        <v>4210.1000000000004</v>
      </c>
      <c r="O65" s="1">
        <f>IF(ISNA(VLOOKUP($CZ65,'Audit Values'!$A$2:$AE$439,2,FALSE)),'Preliminary SO66'!C62,IF(VLOOKUP($CZ65,'Audit Values'!$A$2:$AE$439,28,FALSE)="",VLOOKUP($CZ65,'Audit Values'!$A$2:$AE$439,3,FALSE),VLOOKUP($CZ65,'Audit Values'!$A$2:$AE$439,28,FALSE)))</f>
        <v>66</v>
      </c>
      <c r="P65" s="109">
        <f t="shared" si="82"/>
        <v>4276.1000000000004</v>
      </c>
      <c r="Q65" s="110">
        <f t="shared" si="83"/>
        <v>4279.8</v>
      </c>
      <c r="R65" s="111">
        <f t="shared" si="84"/>
        <v>4279.8</v>
      </c>
      <c r="S65" s="1">
        <f t="shared" si="85"/>
        <v>4276.1000000000004</v>
      </c>
      <c r="T65" s="1">
        <f t="shared" si="133"/>
        <v>3.7</v>
      </c>
      <c r="U65" s="1">
        <f t="shared" si="87"/>
        <v>149.80000000000001</v>
      </c>
      <c r="V65" s="1">
        <f>MAX(BN65,BR65,BV65)</f>
        <v>0</v>
      </c>
      <c r="W65" s="1">
        <f>BW65</f>
        <v>149.80000000000001</v>
      </c>
      <c r="X65" s="1">
        <f>IF(ISNA(VLOOKUP($CZ65,'Audit Values'!$A$2:$AE$439,2,FALSE)),'Preliminary SO66'!D62,VLOOKUP($CZ65,'Audit Values'!$A$2:$AE$439,4,FALSE))</f>
        <v>781.9</v>
      </c>
      <c r="Y65" s="1">
        <f>ROUND((X65/6)*Weightings!$M$6,1)</f>
        <v>65.2</v>
      </c>
      <c r="Z65" s="1">
        <f>IF(ISNA(VLOOKUP($CZ65,'Audit Values'!$A$2:$AE$439,2,FALSE)),'Preliminary SO66'!F62,VLOOKUP($CZ65,'Audit Values'!$A$2:$AE$439,6,FALSE))</f>
        <v>5809</v>
      </c>
      <c r="AA65" s="1">
        <f>ROUND((Z65/6)*Weightings!$M$7,1)</f>
        <v>382.4</v>
      </c>
      <c r="AB65" s="2">
        <f>IF(ISNA(VLOOKUP($CZ65,'Audit Values'!$A$2:$AE$439,2,FALSE)),'Preliminary SO66'!H62,VLOOKUP($CZ65,'Audit Values'!$A$2:$AE$439,8,FALSE))</f>
        <v>2647</v>
      </c>
      <c r="AC65" s="1">
        <f>ROUND(AB65*Weightings!$M$8,1)</f>
        <v>1207</v>
      </c>
      <c r="AD65" s="1">
        <f t="shared" si="117"/>
        <v>277.89999999999998</v>
      </c>
      <c r="AE65" s="185">
        <v>224</v>
      </c>
      <c r="AF65" s="1">
        <f>AE65*Weightings!$M$9</f>
        <v>10.4</v>
      </c>
      <c r="AG65" s="1">
        <f>IF(ISNA(VLOOKUP($CZ65,'Audit Values'!$A$2:$AE$439,2,FALSE)),'Preliminary SO66'!L62,VLOOKUP($CZ65,'Audit Values'!$A$2:$AE$439,12,FALSE))</f>
        <v>250</v>
      </c>
      <c r="AH65" s="1">
        <f>ROUND(AG65*Weightings!$M$10,1)</f>
        <v>62.5</v>
      </c>
      <c r="AI65" s="1">
        <f>IF(ISNA(VLOOKUP($CZ65,'Audit Values'!$A$2:$AE$439,2,FALSE)),'Preliminary SO66'!O62,VLOOKUP($CZ65,'Audit Values'!$A$2:$AE$439,15,FALSE))</f>
        <v>1625</v>
      </c>
      <c r="AJ65" s="1">
        <f t="shared" si="90"/>
        <v>247.7</v>
      </c>
      <c r="AK65" s="1">
        <f>CC65/Weightings!$M$5</f>
        <v>0</v>
      </c>
      <c r="AL65" s="1">
        <f>CD65/Weightings!$M$5</f>
        <v>0</v>
      </c>
      <c r="AM65" s="1">
        <f>CH65/Weightings!$M$5</f>
        <v>0</v>
      </c>
      <c r="AN65" s="1">
        <f t="shared" si="118"/>
        <v>3.9</v>
      </c>
      <c r="AO65" s="1">
        <f>IF(ISNA(VLOOKUP($CZ65,'Audit Values'!$A$2:$AE$439,2,FALSE)),'Preliminary SO66'!X62,VLOOKUP($CZ65,'Audit Values'!$A$2:$AE$439,24,FALSE))</f>
        <v>1</v>
      </c>
      <c r="AP65" s="188">
        <v>3109437</v>
      </c>
      <c r="AQ65" s="113">
        <f>AP65/Weightings!$M$5</f>
        <v>810.2</v>
      </c>
      <c r="AR65" s="113">
        <f t="shared" si="91"/>
        <v>6683.9</v>
      </c>
      <c r="AS65" s="1">
        <f t="shared" si="92"/>
        <v>7494.1</v>
      </c>
      <c r="AT65" s="1">
        <f t="shared" si="93"/>
        <v>7494.1</v>
      </c>
      <c r="AU65" s="2">
        <f t="shared" si="119"/>
        <v>0</v>
      </c>
      <c r="AV65" s="82">
        <f>IF(ISNA(VLOOKUP($CZ65,'Audit Values'!$A$2:$AC$360,2,FALSE)),"",IF(AND(Weightings!H65&gt;0,VLOOKUP($CZ65,'Audit Values'!$A$2:$AC$360,29,FALSE)&lt;Weightings!H65),Weightings!H65,VLOOKUP($CZ65,'Audit Values'!$A$2:$AC$360,29,FALSE)))</f>
        <v>18</v>
      </c>
      <c r="AW65" s="82" t="str">
        <f>IF(ISNA(VLOOKUP($CZ65,'Audit Values'!$A$2:$AD$360,2,FALSE)),"",VLOOKUP($CZ65,'Audit Values'!$A$2:$AD$360,30,FALSE))</f>
        <v>A</v>
      </c>
      <c r="AX65" s="82" t="str">
        <f>IF(Weightings!G65="","",IF(Weightings!I65="Pending","PX","R"))</f>
        <v/>
      </c>
      <c r="AY65" s="114">
        <f>AR65*Weightings!$M$5+AU65</f>
        <v>25652808</v>
      </c>
      <c r="AZ65" s="2">
        <f>AT65*Weightings!$M$5+AU65</f>
        <v>28762356</v>
      </c>
      <c r="BA65" s="2">
        <f>IF(Weightings!G65&gt;0,Weightings!G65,'Preliminary SO66'!AB62)</f>
        <v>29227521</v>
      </c>
      <c r="BB65" s="2">
        <f t="shared" si="94"/>
        <v>28762356</v>
      </c>
      <c r="BC65" s="124"/>
      <c r="BD65" s="124">
        <f>Weightings!E65</f>
        <v>0</v>
      </c>
      <c r="BE65" s="124">
        <f>Weightings!F65</f>
        <v>0</v>
      </c>
      <c r="BF65" s="2">
        <f t="shared" si="95"/>
        <v>0</v>
      </c>
      <c r="BG65" s="2">
        <f t="shared" si="96"/>
        <v>28762356</v>
      </c>
      <c r="BH65" s="2">
        <f>MAX(ROUND(((AR65-AO65)*4433)+AP65,0),ROUND(((AR65-AO65)*4433)+Weightings!B65,0))</f>
        <v>32734733</v>
      </c>
      <c r="BI65" s="174">
        <v>0.3</v>
      </c>
      <c r="BJ65" s="2">
        <f t="shared" si="134"/>
        <v>9820420</v>
      </c>
      <c r="BK65" s="173">
        <v>8855060</v>
      </c>
      <c r="BL65" s="2">
        <f t="shared" si="98"/>
        <v>8855060</v>
      </c>
      <c r="BM65" s="3">
        <f t="shared" si="120"/>
        <v>0.27050000000000002</v>
      </c>
      <c r="BN65" s="1">
        <f t="shared" si="99"/>
        <v>0</v>
      </c>
      <c r="BO65" s="4" t="b">
        <f t="shared" si="100"/>
        <v>0</v>
      </c>
      <c r="BP65" s="5">
        <f t="shared" si="101"/>
        <v>0</v>
      </c>
      <c r="BQ65" s="6">
        <f>IF(BO65=TRUE,ROUND(((7337-BP65)/3642.4)-1,6),0)</f>
        <v>0</v>
      </c>
      <c r="BR65" s="4">
        <f t="shared" si="103"/>
        <v>0</v>
      </c>
      <c r="BS65" s="4" t="b">
        <f t="shared" si="104"/>
        <v>0</v>
      </c>
      <c r="BT65" s="4">
        <f t="shared" si="105"/>
        <v>0</v>
      </c>
      <c r="BU65" s="6">
        <f>IF(BS65=TRUE,ROUND(((5406-BT65)/3642.4)-1,6),0)</f>
        <v>0</v>
      </c>
      <c r="BV65" s="1">
        <f t="shared" si="107"/>
        <v>0</v>
      </c>
      <c r="BW65" s="1">
        <f t="shared" si="108"/>
        <v>149.80000000000001</v>
      </c>
      <c r="BX65" s="116">
        <v>135</v>
      </c>
      <c r="BY65" s="7">
        <f t="shared" si="121"/>
        <v>12.04</v>
      </c>
      <c r="BZ65" s="7">
        <f>IF(ROUND((Weightings!$P$5*BY65^Weightings!$P$6*Weightings!$P$8 ),2)&lt;Weightings!$P$7,Weightings!$P$7,ROUND((Weightings!$P$5*BY65^Weightings!$P$6*Weightings!$P$8 ),2))</f>
        <v>585</v>
      </c>
      <c r="CA65" s="8">
        <f>ROUND(BZ65/Weightings!$M$5,4)</f>
        <v>0.15240000000000001</v>
      </c>
      <c r="CB65" s="1">
        <f t="shared" si="122"/>
        <v>247.7</v>
      </c>
      <c r="CC65" s="173">
        <v>0</v>
      </c>
      <c r="CD65" s="173">
        <v>0</v>
      </c>
      <c r="CE65" s="173">
        <v>0</v>
      </c>
      <c r="CF65" s="177">
        <v>0</v>
      </c>
      <c r="CG65" s="2">
        <f>AS65*Weightings!$M$5*CF65</f>
        <v>0</v>
      </c>
      <c r="CH65" s="2">
        <f t="shared" si="123"/>
        <v>0</v>
      </c>
      <c r="CI65" s="117">
        <f t="shared" si="111"/>
        <v>0.61899999999999999</v>
      </c>
      <c r="CJ65" s="4">
        <f t="shared" si="112"/>
        <v>31.7</v>
      </c>
      <c r="CK65" s="1">
        <f t="shared" si="124"/>
        <v>277.89999999999998</v>
      </c>
      <c r="CL65" s="1">
        <f t="shared" si="125"/>
        <v>0</v>
      </c>
      <c r="CM65" s="1">
        <f t="shared" si="126"/>
        <v>0</v>
      </c>
      <c r="CN65" s="1">
        <f>IF(ISNA(VLOOKUP($CZ65,'Audit Values'!$A$2:$AE$439,2,FALSE)),'Preliminary SO66'!T62,VLOOKUP($CZ65,'Audit Values'!$A$2:$AE$439,20,FALSE))</f>
        <v>3.7</v>
      </c>
      <c r="CO65" s="1">
        <f t="shared" si="127"/>
        <v>3.9</v>
      </c>
      <c r="CP65" s="181">
        <v>0</v>
      </c>
      <c r="CQ65" s="1">
        <f t="shared" si="128"/>
        <v>0</v>
      </c>
      <c r="CR65" s="2">
        <f>IF(ISNA(VLOOKUP($CZ65,'Audit Values'!$A$2:$AE$439,2,FALSE)),'Preliminary SO66'!V62,VLOOKUP($CZ65,'Audit Values'!$A$2:$AE$439,22,FALSE))</f>
        <v>0</v>
      </c>
      <c r="CS65" s="1">
        <f t="shared" si="129"/>
        <v>0</v>
      </c>
      <c r="CT65" s="2">
        <f>IF(ISNA(VLOOKUP($CZ65,'Audit Values'!$A$2:$AE$439,2,FALSE)),'Preliminary SO66'!W62,VLOOKUP($CZ65,'Audit Values'!$A$2:$AE$439,23,FALSE))</f>
        <v>0</v>
      </c>
      <c r="CU65" s="1">
        <f t="shared" si="138"/>
        <v>0</v>
      </c>
      <c r="CV65" s="1">
        <f t="shared" si="139"/>
        <v>3.9</v>
      </c>
      <c r="CW65" s="176">
        <v>0</v>
      </c>
      <c r="CX65" s="2">
        <f>IF(CW65&gt;0,Weightings!$M$11*AR65,0)</f>
        <v>0</v>
      </c>
      <c r="CY65" s="2">
        <f t="shared" si="130"/>
        <v>0</v>
      </c>
      <c r="CZ65" s="108" t="s">
        <v>357</v>
      </c>
    </row>
    <row r="66" spans="1:104">
      <c r="A66" s="82">
        <v>254</v>
      </c>
      <c r="B66" s="4" t="s">
        <v>33</v>
      </c>
      <c r="C66" s="4" t="s">
        <v>693</v>
      </c>
      <c r="D66" s="1">
        <v>424.5</v>
      </c>
      <c r="E66" s="1">
        <v>0</v>
      </c>
      <c r="F66" s="1">
        <f t="shared" si="135"/>
        <v>424.5</v>
      </c>
      <c r="G66" s="1">
        <v>444</v>
      </c>
      <c r="H66" s="1">
        <v>0</v>
      </c>
      <c r="I66" s="1">
        <f t="shared" si="116"/>
        <v>444</v>
      </c>
      <c r="J66" s="1">
        <f t="shared" si="79"/>
        <v>446.5</v>
      </c>
      <c r="K66" s="1">
        <f>IF(ISNA(VLOOKUP($CZ66,'Audit Values'!$A$2:$AE$439,2,FALSE)),'Preliminary SO66'!B63,VLOOKUP($CZ66,'Audit Values'!$A$2:$AE$439,31,FALSE))</f>
        <v>446.5</v>
      </c>
      <c r="L66" s="1">
        <f t="shared" si="80"/>
        <v>446.5</v>
      </c>
      <c r="M66" s="1">
        <f>IF(ISNA(VLOOKUP($CZ66,'Audit Values'!$A$2:$AE$439,2,FALSE)),'Preliminary SO66'!Z63,VLOOKUP($CZ66,'Audit Values'!$A$2:$AE$439,26,FALSE))</f>
        <v>0</v>
      </c>
      <c r="N66" s="1">
        <f t="shared" si="81"/>
        <v>446.5</v>
      </c>
      <c r="O66" s="1">
        <f>IF(ISNA(VLOOKUP($CZ66,'Audit Values'!$A$2:$AE$439,2,FALSE)),'Preliminary SO66'!C63,IF(VLOOKUP($CZ66,'Audit Values'!$A$2:$AE$439,28,FALSE)="",VLOOKUP($CZ66,'Audit Values'!$A$2:$AE$439,3,FALSE),VLOOKUP($CZ66,'Audit Values'!$A$2:$AE$439,28,FALSE)))</f>
        <v>2.5</v>
      </c>
      <c r="P66" s="109">
        <f t="shared" si="82"/>
        <v>449</v>
      </c>
      <c r="Q66" s="110">
        <f t="shared" si="83"/>
        <v>449</v>
      </c>
      <c r="R66" s="111">
        <f t="shared" si="84"/>
        <v>449</v>
      </c>
      <c r="S66" s="1">
        <f t="shared" si="85"/>
        <v>449</v>
      </c>
      <c r="T66" s="1">
        <f t="shared" si="133"/>
        <v>0</v>
      </c>
      <c r="U66" s="1">
        <f t="shared" si="87"/>
        <v>194.7</v>
      </c>
      <c r="V66" s="1">
        <f t="shared" si="88"/>
        <v>194.7</v>
      </c>
      <c r="W66" s="1">
        <f t="shared" si="89"/>
        <v>0</v>
      </c>
      <c r="X66" s="1">
        <f>IF(ISNA(VLOOKUP($CZ66,'Audit Values'!$A$2:$AE$439,2,FALSE)),'Preliminary SO66'!D63,VLOOKUP($CZ66,'Audit Values'!$A$2:$AE$439,4,FALSE))</f>
        <v>65.2</v>
      </c>
      <c r="Y66" s="1">
        <f>ROUND((X66/6)*Weightings!$M$6,1)</f>
        <v>5.4</v>
      </c>
      <c r="Z66" s="1">
        <f>IF(ISNA(VLOOKUP($CZ66,'Audit Values'!$A$2:$AE$439,2,FALSE)),'Preliminary SO66'!F63,VLOOKUP($CZ66,'Audit Values'!$A$2:$AE$439,6,FALSE))</f>
        <v>0</v>
      </c>
      <c r="AA66" s="1">
        <f>ROUND((Z66/6)*Weightings!$M$7,1)</f>
        <v>0</v>
      </c>
      <c r="AB66" s="2">
        <f>IF(ISNA(VLOOKUP($CZ66,'Audit Values'!$A$2:$AE$439,2,FALSE)),'Preliminary SO66'!H63,VLOOKUP($CZ66,'Audit Values'!$A$2:$AE$439,8,FALSE))</f>
        <v>159</v>
      </c>
      <c r="AC66" s="1">
        <f>ROUND(AB66*Weightings!$M$8,1)</f>
        <v>72.5</v>
      </c>
      <c r="AD66" s="1">
        <f t="shared" si="117"/>
        <v>0.4</v>
      </c>
      <c r="AE66" s="185">
        <v>13</v>
      </c>
      <c r="AF66" s="1">
        <f>AE66*Weightings!$M$9</f>
        <v>0.6</v>
      </c>
      <c r="AG66" s="1">
        <f>IF(ISNA(VLOOKUP($CZ66,'Audit Values'!$A$2:$AE$439,2,FALSE)),'Preliminary SO66'!L63,VLOOKUP($CZ66,'Audit Values'!$A$2:$AE$439,12,FALSE))</f>
        <v>0</v>
      </c>
      <c r="AH66" s="1">
        <f>ROUND(AG66*Weightings!$M$10,1)</f>
        <v>0</v>
      </c>
      <c r="AI66" s="1">
        <f>IF(ISNA(VLOOKUP($CZ66,'Audit Values'!$A$2:$AE$439,2,FALSE)),'Preliminary SO66'!O63,VLOOKUP($CZ66,'Audit Values'!$A$2:$AE$439,15,FALSE))</f>
        <v>124</v>
      </c>
      <c r="AJ66" s="1">
        <f t="shared" si="90"/>
        <v>48.5</v>
      </c>
      <c r="AK66" s="1">
        <f>CC66/Weightings!$M$5</f>
        <v>0</v>
      </c>
      <c r="AL66" s="1">
        <f>CD66/Weightings!$M$5</f>
        <v>0</v>
      </c>
      <c r="AM66" s="1">
        <f>CH66/Weightings!$M$5</f>
        <v>0</v>
      </c>
      <c r="AN66" s="1">
        <f>CV66</f>
        <v>0</v>
      </c>
      <c r="AO66" s="1">
        <f>IF(ISNA(VLOOKUP($CZ66,'Audit Values'!$A$2:$AE$439,2,FALSE)),'Preliminary SO66'!X63,VLOOKUP($CZ66,'Audit Values'!$A$2:$AE$439,24,FALSE))</f>
        <v>0</v>
      </c>
      <c r="AP66" s="188">
        <v>535174</v>
      </c>
      <c r="AQ66" s="113">
        <f>AP66/Weightings!$M$5</f>
        <v>139.4</v>
      </c>
      <c r="AR66" s="113">
        <f t="shared" si="91"/>
        <v>771.1</v>
      </c>
      <c r="AS66" s="1">
        <f t="shared" si="92"/>
        <v>910.5</v>
      </c>
      <c r="AT66" s="1">
        <f t="shared" si="93"/>
        <v>910.5</v>
      </c>
      <c r="AU66" s="2">
        <f t="shared" si="119"/>
        <v>0</v>
      </c>
      <c r="AV66" s="82">
        <f>IF(ISNA(VLOOKUP($CZ66,'Audit Values'!$A$2:$AC$360,2,FALSE)),"",IF(AND(Weightings!H66&gt;0,VLOOKUP($CZ66,'Audit Values'!$A$2:$AC$360,29,FALSE)&lt;Weightings!H66),Weightings!H66,VLOOKUP($CZ66,'Audit Values'!$A$2:$AC$360,29,FALSE)))</f>
        <v>2</v>
      </c>
      <c r="AW66" s="82" t="str">
        <f>IF(ISNA(VLOOKUP($CZ66,'Audit Values'!$A$2:$AD$360,2,FALSE)),"",VLOOKUP($CZ66,'Audit Values'!$A$2:$AD$360,30,FALSE))</f>
        <v>A</v>
      </c>
      <c r="AX66" s="82" t="str">
        <f>IF(Weightings!G66="","",IF(Weightings!I66="Pending","PX","R"))</f>
        <v/>
      </c>
      <c r="AY66" s="114">
        <f>AR66*Weightings!$M$5+AU66</f>
        <v>2959482</v>
      </c>
      <c r="AZ66" s="2">
        <f>AT66*Weightings!$M$5+AU66</f>
        <v>3494499</v>
      </c>
      <c r="BA66" s="2">
        <f>IF(Weightings!G66&gt;0,Weightings!G66,'Preliminary SO66'!AB63)</f>
        <v>3630748</v>
      </c>
      <c r="BB66" s="2">
        <f t="shared" si="94"/>
        <v>3494499</v>
      </c>
      <c r="BC66" s="124"/>
      <c r="BD66" s="124">
        <f>Weightings!E66</f>
        <v>0</v>
      </c>
      <c r="BE66" s="124">
        <f>Weightings!F66</f>
        <v>0</v>
      </c>
      <c r="BF66" s="2">
        <f t="shared" si="95"/>
        <v>0</v>
      </c>
      <c r="BG66" s="2">
        <f t="shared" si="96"/>
        <v>3494499</v>
      </c>
      <c r="BH66" s="2">
        <f>MAX(ROUND(((AR66-AO66)*4433)+AP66,0),ROUND(((AR66-AO66)*4433)+Weightings!B66,0))</f>
        <v>4004976</v>
      </c>
      <c r="BI66" s="174">
        <v>0.3</v>
      </c>
      <c r="BJ66" s="2">
        <f t="shared" si="134"/>
        <v>1201493</v>
      </c>
      <c r="BK66" s="173">
        <v>1228435</v>
      </c>
      <c r="BL66" s="2">
        <f t="shared" si="98"/>
        <v>1201493</v>
      </c>
      <c r="BM66" s="3">
        <f t="shared" si="120"/>
        <v>0.3</v>
      </c>
      <c r="BN66" s="1">
        <f t="shared" si="99"/>
        <v>0</v>
      </c>
      <c r="BO66" s="4" t="b">
        <f t="shared" si="100"/>
        <v>0</v>
      </c>
      <c r="BP66" s="5">
        <f t="shared" si="101"/>
        <v>0</v>
      </c>
      <c r="BQ66" s="6">
        <f t="shared" ref="BQ66:BQ126" si="140">IF(BO66=TRUE,ROUND(((7337-BP66)/3642.4)-1,6),0)</f>
        <v>0</v>
      </c>
      <c r="BR66" s="4">
        <f t="shared" si="103"/>
        <v>0</v>
      </c>
      <c r="BS66" s="4" t="b">
        <f t="shared" si="104"/>
        <v>1</v>
      </c>
      <c r="BT66" s="4">
        <f t="shared" si="105"/>
        <v>184.38749999999999</v>
      </c>
      <c r="BU66" s="6">
        <f t="shared" ref="BU66:BU126" si="141">IF(BS66=TRUE,ROUND(((5406-BT66)/3642.4)-1,6),0)</f>
        <v>0.433564</v>
      </c>
      <c r="BV66" s="1">
        <f t="shared" si="107"/>
        <v>194.7</v>
      </c>
      <c r="BW66" s="1">
        <f t="shared" si="108"/>
        <v>0</v>
      </c>
      <c r="BX66" s="116">
        <v>718</v>
      </c>
      <c r="BY66" s="7">
        <f t="shared" si="121"/>
        <v>0.17</v>
      </c>
      <c r="BZ66" s="7">
        <f>IF(ROUND((Weightings!$P$5*BY66^Weightings!$P$6*Weightings!$P$8 ),2)&lt;Weightings!$P$7,Weightings!$P$7,ROUND((Weightings!$P$5*BY66^Weightings!$P$6*Weightings!$P$8 ),2))</f>
        <v>1501.44</v>
      </c>
      <c r="CA66" s="8">
        <f>ROUND(BZ66/Weightings!$M$5,4)</f>
        <v>0.39119999999999999</v>
      </c>
      <c r="CB66" s="1">
        <f t="shared" si="122"/>
        <v>48.5</v>
      </c>
      <c r="CC66" s="173">
        <v>0</v>
      </c>
      <c r="CD66" s="173">
        <v>0</v>
      </c>
      <c r="CE66" s="173">
        <v>0</v>
      </c>
      <c r="CF66" s="177">
        <v>0</v>
      </c>
      <c r="CG66" s="2">
        <f>AS66*Weightings!$M$5*CF66</f>
        <v>0</v>
      </c>
      <c r="CH66" s="2">
        <f t="shared" si="123"/>
        <v>0</v>
      </c>
      <c r="CI66" s="117">
        <f t="shared" si="111"/>
        <v>0.35399999999999998</v>
      </c>
      <c r="CJ66" s="4">
        <f t="shared" si="112"/>
        <v>0.6</v>
      </c>
      <c r="CK66" s="1">
        <f t="shared" si="124"/>
        <v>0</v>
      </c>
      <c r="CL66" s="1">
        <f t="shared" si="125"/>
        <v>0</v>
      </c>
      <c r="CM66" s="1">
        <f t="shared" si="126"/>
        <v>0.4</v>
      </c>
      <c r="CN66" s="1">
        <f>IF(ISNA(VLOOKUP($CZ66,'Audit Values'!$A$2:$AE$439,2,FALSE)),'Preliminary SO66'!T63,VLOOKUP($CZ66,'Audit Values'!$A$2:$AE$439,20,FALSE))</f>
        <v>0</v>
      </c>
      <c r="CO66" s="1">
        <f t="shared" si="127"/>
        <v>0</v>
      </c>
      <c r="CP66" s="183">
        <v>0</v>
      </c>
      <c r="CQ66" s="1">
        <f t="shared" si="128"/>
        <v>0</v>
      </c>
      <c r="CR66" s="2">
        <f>IF(ISNA(VLOOKUP($CZ66,'Audit Values'!$A$2:$AE$439,2,FALSE)),'Preliminary SO66'!V63,VLOOKUP($CZ66,'Audit Values'!$A$2:$AE$439,22,FALSE))</f>
        <v>0</v>
      </c>
      <c r="CS66" s="1">
        <f t="shared" si="129"/>
        <v>0</v>
      </c>
      <c r="CT66" s="2">
        <f>IF(ISNA(VLOOKUP($CZ66,'Audit Values'!$A$2:$AE$439,2,FALSE)),'Preliminary SO66'!W63,VLOOKUP($CZ66,'Audit Values'!$A$2:$AE$439,23,FALSE))</f>
        <v>0</v>
      </c>
      <c r="CU66" s="1">
        <f t="shared" si="138"/>
        <v>0</v>
      </c>
      <c r="CV66" s="1">
        <f t="shared" si="139"/>
        <v>0</v>
      </c>
      <c r="CW66" s="176">
        <v>0</v>
      </c>
      <c r="CX66" s="2">
        <f>IF(CW66&gt;0,Weightings!$M$11*AR66,0)</f>
        <v>0</v>
      </c>
      <c r="CY66" s="2">
        <f t="shared" si="130"/>
        <v>0</v>
      </c>
      <c r="CZ66" s="108" t="s">
        <v>358</v>
      </c>
    </row>
    <row r="67" spans="1:104">
      <c r="A67" s="82">
        <v>255</v>
      </c>
      <c r="B67" s="4" t="s">
        <v>33</v>
      </c>
      <c r="C67" s="4" t="s">
        <v>694</v>
      </c>
      <c r="D67" s="1">
        <v>215</v>
      </c>
      <c r="E67" s="1">
        <v>0</v>
      </c>
      <c r="F67" s="1">
        <f t="shared" si="135"/>
        <v>215</v>
      </c>
      <c r="G67" s="1">
        <v>220.5</v>
      </c>
      <c r="H67" s="1">
        <v>0</v>
      </c>
      <c r="I67" s="1">
        <f t="shared" si="116"/>
        <v>220.5</v>
      </c>
      <c r="J67" s="1">
        <f t="shared" si="79"/>
        <v>235</v>
      </c>
      <c r="K67" s="1">
        <f>IF(ISNA(VLOOKUP($CZ67,'Audit Values'!$A$2:$AE$439,2,FALSE)),'Preliminary SO66'!B64,VLOOKUP($CZ67,'Audit Values'!$A$2:$AE$439,31,FALSE))</f>
        <v>235</v>
      </c>
      <c r="L67" s="1">
        <f t="shared" si="80"/>
        <v>235</v>
      </c>
      <c r="M67" s="1">
        <f>IF(ISNA(VLOOKUP($CZ67,'Audit Values'!$A$2:$AE$439,2,FALSE)),'Preliminary SO66'!Z64,VLOOKUP($CZ67,'Audit Values'!$A$2:$AE$439,26,FALSE))</f>
        <v>0</v>
      </c>
      <c r="N67" s="1">
        <f t="shared" si="81"/>
        <v>235</v>
      </c>
      <c r="O67" s="1">
        <f>IF(ISNA(VLOOKUP($CZ67,'Audit Values'!$A$2:$AE$439,2,FALSE)),'Preliminary SO66'!C64,IF(VLOOKUP($CZ67,'Audit Values'!$A$2:$AE$439,28,FALSE)="",VLOOKUP($CZ67,'Audit Values'!$A$2:$AE$439,3,FALSE),VLOOKUP($CZ67,'Audit Values'!$A$2:$AE$439,28,FALSE)))</f>
        <v>2</v>
      </c>
      <c r="P67" s="109">
        <f t="shared" si="82"/>
        <v>237</v>
      </c>
      <c r="Q67" s="110">
        <f t="shared" si="83"/>
        <v>237</v>
      </c>
      <c r="R67" s="111">
        <f t="shared" si="84"/>
        <v>237</v>
      </c>
      <c r="S67" s="1">
        <f t="shared" si="85"/>
        <v>237</v>
      </c>
      <c r="T67" s="1">
        <f t="shared" si="133"/>
        <v>0</v>
      </c>
      <c r="U67" s="1">
        <f t="shared" si="87"/>
        <v>154.30000000000001</v>
      </c>
      <c r="V67" s="1">
        <f t="shared" si="88"/>
        <v>154.30000000000001</v>
      </c>
      <c r="W67" s="1">
        <f t="shared" si="89"/>
        <v>0</v>
      </c>
      <c r="X67" s="1">
        <f>IF(ISNA(VLOOKUP($CZ67,'Audit Values'!$A$2:$AE$439,2,FALSE)),'Preliminary SO66'!D64,VLOOKUP($CZ67,'Audit Values'!$A$2:$AE$439,4,FALSE))</f>
        <v>76.400000000000006</v>
      </c>
      <c r="Y67" s="1">
        <f>ROUND((X67/6)*Weightings!$M$6,1)</f>
        <v>6.4</v>
      </c>
      <c r="Z67" s="1">
        <f>IF(ISNA(VLOOKUP($CZ67,'Audit Values'!$A$2:$AE$439,2,FALSE)),'Preliminary SO66'!F64,VLOOKUP($CZ67,'Audit Values'!$A$2:$AE$439,6,FALSE))</f>
        <v>0</v>
      </c>
      <c r="AA67" s="1">
        <f>ROUND((Z67/6)*Weightings!$M$7,1)</f>
        <v>0</v>
      </c>
      <c r="AB67" s="2">
        <f>IF(ISNA(VLOOKUP($CZ67,'Audit Values'!$A$2:$AE$439,2,FALSE)),'Preliminary SO66'!H64,VLOOKUP($CZ67,'Audit Values'!$A$2:$AE$439,8,FALSE))</f>
        <v>80</v>
      </c>
      <c r="AC67" s="1">
        <f>ROUND(AB67*Weightings!$M$8,1)</f>
        <v>36.5</v>
      </c>
      <c r="AD67" s="1">
        <f t="shared" si="117"/>
        <v>0</v>
      </c>
      <c r="AE67" s="185">
        <v>25</v>
      </c>
      <c r="AF67" s="1">
        <f>AE67*Weightings!$M$9</f>
        <v>1.2</v>
      </c>
      <c r="AG67" s="1">
        <f>IF(ISNA(VLOOKUP($CZ67,'Audit Values'!$A$2:$AE$439,2,FALSE)),'Preliminary SO66'!L64,VLOOKUP($CZ67,'Audit Values'!$A$2:$AE$439,12,FALSE))</f>
        <v>0</v>
      </c>
      <c r="AH67" s="1">
        <f>ROUND(AG67*Weightings!$M$10,1)</f>
        <v>0</v>
      </c>
      <c r="AI67" s="1">
        <f>IF(ISNA(VLOOKUP($CZ67,'Audit Values'!$A$2:$AE$439,2,FALSE)),'Preliminary SO66'!O64,VLOOKUP($CZ67,'Audit Values'!$A$2:$AE$439,15,FALSE))</f>
        <v>51</v>
      </c>
      <c r="AJ67" s="1">
        <f t="shared" si="90"/>
        <v>21.6</v>
      </c>
      <c r="AK67" s="1">
        <f>CC67/Weightings!$M$5</f>
        <v>0</v>
      </c>
      <c r="AL67" s="1">
        <f>CD67/Weightings!$M$5</f>
        <v>0</v>
      </c>
      <c r="AM67" s="1">
        <f>CH67/Weightings!$M$5</f>
        <v>0</v>
      </c>
      <c r="AN67" s="1">
        <f t="shared" si="118"/>
        <v>0</v>
      </c>
      <c r="AO67" s="1">
        <f>IF(ISNA(VLOOKUP($CZ67,'Audit Values'!$A$2:$AE$439,2,FALSE)),'Preliminary SO66'!X64,VLOOKUP($CZ67,'Audit Values'!$A$2:$AE$439,24,FALSE))</f>
        <v>0</v>
      </c>
      <c r="AP67" s="188">
        <v>268965</v>
      </c>
      <c r="AQ67" s="113">
        <f>AP67/Weightings!$M$5</f>
        <v>70.099999999999994</v>
      </c>
      <c r="AR67" s="113">
        <f t="shared" si="91"/>
        <v>457</v>
      </c>
      <c r="AS67" s="1">
        <f t="shared" si="92"/>
        <v>527.1</v>
      </c>
      <c r="AT67" s="1">
        <f t="shared" si="93"/>
        <v>527.1</v>
      </c>
      <c r="AU67" s="2">
        <f t="shared" si="119"/>
        <v>0</v>
      </c>
      <c r="AV67" s="82">
        <f>IF(ISNA(VLOOKUP($CZ67,'Audit Values'!$A$2:$AC$360,2,FALSE)),"",IF(AND(Weightings!H67&gt;0,VLOOKUP($CZ67,'Audit Values'!$A$2:$AC$360,29,FALSE)&lt;Weightings!H67),Weightings!H67,VLOOKUP($CZ67,'Audit Values'!$A$2:$AC$360,29,FALSE)))</f>
        <v>1</v>
      </c>
      <c r="AW67" s="82" t="str">
        <f>IF(ISNA(VLOOKUP($CZ67,'Audit Values'!$A$2:$AD$360,2,FALSE)),"",VLOOKUP($CZ67,'Audit Values'!$A$2:$AD$360,30,FALSE))</f>
        <v>A</v>
      </c>
      <c r="AX67" s="82" t="str">
        <f>IF(Weightings!G67="","",IF(Weightings!I67="Pending","PX","R"))</f>
        <v>R</v>
      </c>
      <c r="AY67" s="114">
        <f>AR67*Weightings!$M$5+AU67</f>
        <v>1753966</v>
      </c>
      <c r="AZ67" s="2">
        <f>AT67*Weightings!$M$5+AU67</f>
        <v>2023010</v>
      </c>
      <c r="BA67" s="2">
        <f>IF(Weightings!G67&gt;0,Weightings!G67,'Preliminary SO66'!AB64)</f>
        <v>2059087</v>
      </c>
      <c r="BB67" s="2">
        <f t="shared" si="94"/>
        <v>2023010</v>
      </c>
      <c r="BC67" s="124"/>
      <c r="BD67" s="124">
        <f>Weightings!E67</f>
        <v>0</v>
      </c>
      <c r="BE67" s="124">
        <f>Weightings!F67</f>
        <v>0</v>
      </c>
      <c r="BF67" s="2">
        <f t="shared" si="95"/>
        <v>0</v>
      </c>
      <c r="BG67" s="2">
        <f t="shared" si="96"/>
        <v>2023010</v>
      </c>
      <c r="BH67" s="2">
        <f>MAX(ROUND(((AR67-AO67)*4433)+AP67,0),ROUND(((AR67-AO67)*4433)+Weightings!B67,0))</f>
        <v>2294846</v>
      </c>
      <c r="BI67" s="174">
        <v>0.3</v>
      </c>
      <c r="BJ67" s="2">
        <f t="shared" si="134"/>
        <v>688454</v>
      </c>
      <c r="BK67" s="173">
        <v>670408</v>
      </c>
      <c r="BL67" s="2">
        <f t="shared" si="98"/>
        <v>670408</v>
      </c>
      <c r="BM67" s="3">
        <f t="shared" si="120"/>
        <v>0.29210000000000003</v>
      </c>
      <c r="BN67" s="1">
        <f t="shared" si="99"/>
        <v>0</v>
      </c>
      <c r="BO67" s="4" t="b">
        <f t="shared" si="100"/>
        <v>1</v>
      </c>
      <c r="BP67" s="5">
        <f t="shared" si="101"/>
        <v>1322.7349999999999</v>
      </c>
      <c r="BQ67" s="6">
        <f t="shared" si="140"/>
        <v>0.65118200000000004</v>
      </c>
      <c r="BR67" s="4">
        <f t="shared" si="103"/>
        <v>154.30000000000001</v>
      </c>
      <c r="BS67" s="4" t="b">
        <f t="shared" si="104"/>
        <v>0</v>
      </c>
      <c r="BT67" s="4">
        <f t="shared" si="105"/>
        <v>0</v>
      </c>
      <c r="BU67" s="6">
        <f t="shared" si="141"/>
        <v>0</v>
      </c>
      <c r="BV67" s="1">
        <f t="shared" si="107"/>
        <v>0</v>
      </c>
      <c r="BW67" s="1">
        <f t="shared" si="108"/>
        <v>0</v>
      </c>
      <c r="BX67" s="116">
        <v>425.5</v>
      </c>
      <c r="BY67" s="7">
        <f t="shared" si="121"/>
        <v>0.12</v>
      </c>
      <c r="BZ67" s="7">
        <f>IF(ROUND((Weightings!$P$5*BY67^Weightings!$P$6*Weightings!$P$8 ),2)&lt;Weightings!$P$7,Weightings!$P$7,ROUND((Weightings!$P$5*BY67^Weightings!$P$6*Weightings!$P$8 ),2))</f>
        <v>1625.6</v>
      </c>
      <c r="CA67" s="8">
        <f>ROUND(BZ67/Weightings!$M$5,4)</f>
        <v>0.42359999999999998</v>
      </c>
      <c r="CB67" s="1">
        <f t="shared" si="122"/>
        <v>21.6</v>
      </c>
      <c r="CC67" s="173">
        <v>0</v>
      </c>
      <c r="CD67" s="173">
        <v>0</v>
      </c>
      <c r="CE67" s="173">
        <v>0</v>
      </c>
      <c r="CF67" s="177">
        <v>0</v>
      </c>
      <c r="CG67" s="2">
        <f>AS67*Weightings!$M$5*CF67</f>
        <v>0</v>
      </c>
      <c r="CH67" s="2">
        <f t="shared" si="123"/>
        <v>0</v>
      </c>
      <c r="CI67" s="117">
        <f t="shared" si="111"/>
        <v>0.33800000000000002</v>
      </c>
      <c r="CJ67" s="4">
        <f t="shared" si="112"/>
        <v>0.6</v>
      </c>
      <c r="CK67" s="1">
        <f t="shared" si="124"/>
        <v>0</v>
      </c>
      <c r="CL67" s="1">
        <f t="shared" si="125"/>
        <v>0</v>
      </c>
      <c r="CM67" s="1">
        <f t="shared" si="126"/>
        <v>0</v>
      </c>
      <c r="CN67" s="1">
        <f>IF(ISNA(VLOOKUP($CZ67,'Audit Values'!$A$2:$AE$439,2,FALSE)),'Preliminary SO66'!T64,VLOOKUP($CZ67,'Audit Values'!$A$2:$AE$439,20,FALSE))</f>
        <v>0</v>
      </c>
      <c r="CO67" s="1">
        <f t="shared" si="127"/>
        <v>0</v>
      </c>
      <c r="CP67" s="183">
        <v>0</v>
      </c>
      <c r="CQ67" s="1">
        <f t="shared" si="128"/>
        <v>0</v>
      </c>
      <c r="CR67" s="2">
        <f>IF(ISNA(VLOOKUP($CZ67,'Audit Values'!$A$2:$AE$439,2,FALSE)),'Preliminary SO66'!V64,VLOOKUP($CZ67,'Audit Values'!$A$2:$AE$439,22,FALSE))</f>
        <v>0</v>
      </c>
      <c r="CS67" s="1">
        <f t="shared" si="129"/>
        <v>0</v>
      </c>
      <c r="CT67" s="2">
        <f>IF(ISNA(VLOOKUP($CZ67,'Audit Values'!$A$2:$AE$439,2,FALSE)),'Preliminary SO66'!W64,VLOOKUP($CZ67,'Audit Values'!$A$2:$AE$439,23,FALSE))</f>
        <v>0</v>
      </c>
      <c r="CU67" s="1">
        <f t="shared" si="138"/>
        <v>0</v>
      </c>
      <c r="CV67" s="1">
        <f t="shared" si="139"/>
        <v>0</v>
      </c>
      <c r="CW67" s="176">
        <v>0</v>
      </c>
      <c r="CX67" s="2">
        <f>IF(CW67&gt;0,Weightings!$M$11*AR67,0)</f>
        <v>0</v>
      </c>
      <c r="CY67" s="2">
        <f t="shared" si="130"/>
        <v>0</v>
      </c>
      <c r="CZ67" s="108" t="s">
        <v>359</v>
      </c>
    </row>
    <row r="68" spans="1:104">
      <c r="A68" s="82">
        <v>256</v>
      </c>
      <c r="B68" s="4" t="s">
        <v>34</v>
      </c>
      <c r="C68" s="4" t="s">
        <v>695</v>
      </c>
      <c r="D68" s="1">
        <v>308</v>
      </c>
      <c r="E68" s="1">
        <v>0</v>
      </c>
      <c r="F68" s="1">
        <f t="shared" si="135"/>
        <v>308</v>
      </c>
      <c r="G68" s="1">
        <v>288</v>
      </c>
      <c r="H68" s="1">
        <v>0</v>
      </c>
      <c r="I68" s="1">
        <f t="shared" si="116"/>
        <v>288</v>
      </c>
      <c r="J68" s="1">
        <f t="shared" si="79"/>
        <v>277</v>
      </c>
      <c r="K68" s="1">
        <f>IF(ISNA(VLOOKUP($CZ68,'Audit Values'!$A$2:$AE$439,2,FALSE)),'Preliminary SO66'!B65,VLOOKUP($CZ68,'Audit Values'!$A$2:$AE$439,31,FALSE))</f>
        <v>277</v>
      </c>
      <c r="L68" s="1">
        <f t="shared" si="80"/>
        <v>291</v>
      </c>
      <c r="M68" s="1">
        <f>IF(ISNA(VLOOKUP($CZ68,'Audit Values'!$A$2:$AE$439,2,FALSE)),'Preliminary SO66'!Z65,VLOOKUP($CZ68,'Audit Values'!$A$2:$AE$439,26,FALSE))</f>
        <v>0</v>
      </c>
      <c r="N68" s="1">
        <f t="shared" si="81"/>
        <v>291</v>
      </c>
      <c r="O68" s="1">
        <f>IF(ISNA(VLOOKUP($CZ68,'Audit Values'!$A$2:$AE$439,2,FALSE)),'Preliminary SO66'!C65,IF(VLOOKUP($CZ68,'Audit Values'!$A$2:$AE$439,28,FALSE)="",VLOOKUP($CZ68,'Audit Values'!$A$2:$AE$439,3,FALSE),VLOOKUP($CZ68,'Audit Values'!$A$2:$AE$439,28,FALSE)))</f>
        <v>4.5</v>
      </c>
      <c r="P68" s="109">
        <f t="shared" si="82"/>
        <v>281.5</v>
      </c>
      <c r="Q68" s="110">
        <f t="shared" si="83"/>
        <v>281.5</v>
      </c>
      <c r="R68" s="111">
        <f t="shared" si="84"/>
        <v>281.5</v>
      </c>
      <c r="S68" s="1">
        <f t="shared" si="85"/>
        <v>295.5</v>
      </c>
      <c r="T68" s="1">
        <f t="shared" si="133"/>
        <v>0</v>
      </c>
      <c r="U68" s="1">
        <f t="shared" si="87"/>
        <v>146.6</v>
      </c>
      <c r="V68" s="1">
        <f t="shared" si="88"/>
        <v>146.6</v>
      </c>
      <c r="W68" s="1">
        <f t="shared" si="89"/>
        <v>0</v>
      </c>
      <c r="X68" s="1">
        <f>IF(ISNA(VLOOKUP($CZ68,'Audit Values'!$A$2:$AE$439,2,FALSE)),'Preliminary SO66'!D65,VLOOKUP($CZ68,'Audit Values'!$A$2:$AE$439,4,FALSE))</f>
        <v>93.6</v>
      </c>
      <c r="Y68" s="1">
        <f>ROUND((X68/6)*Weightings!$M$6,1)</f>
        <v>7.8</v>
      </c>
      <c r="Z68" s="1">
        <f>IF(ISNA(VLOOKUP($CZ68,'Audit Values'!$A$2:$AE$439,2,FALSE)),'Preliminary SO66'!F65,VLOOKUP($CZ68,'Audit Values'!$A$2:$AE$439,6,FALSE))</f>
        <v>0</v>
      </c>
      <c r="AA68" s="1">
        <f>ROUND((Z68/6)*Weightings!$M$7,1)</f>
        <v>0</v>
      </c>
      <c r="AB68" s="2">
        <f>IF(ISNA(VLOOKUP($CZ68,'Audit Values'!$A$2:$AE$439,2,FALSE)),'Preliminary SO66'!H65,VLOOKUP($CZ68,'Audit Values'!$A$2:$AE$439,8,FALSE))</f>
        <v>135</v>
      </c>
      <c r="AC68" s="1">
        <f>ROUND(AB68*Weightings!$M$8,1)</f>
        <v>61.6</v>
      </c>
      <c r="AD68" s="1">
        <f t="shared" si="117"/>
        <v>10.1</v>
      </c>
      <c r="AE68" s="185">
        <v>14</v>
      </c>
      <c r="AF68" s="1">
        <f>AE68*Weightings!$M$9</f>
        <v>0.7</v>
      </c>
      <c r="AG68" s="1">
        <f>IF(ISNA(VLOOKUP($CZ68,'Audit Values'!$A$2:$AE$439,2,FALSE)),'Preliminary SO66'!L65,VLOOKUP($CZ68,'Audit Values'!$A$2:$AE$439,12,FALSE))</f>
        <v>0</v>
      </c>
      <c r="AH68" s="1">
        <f>ROUND(AG68*Weightings!$M$10,1)</f>
        <v>0</v>
      </c>
      <c r="AI68" s="1">
        <f>IF(ISNA(VLOOKUP($CZ68,'Audit Values'!$A$2:$AE$439,2,FALSE)),'Preliminary SO66'!O65,VLOOKUP($CZ68,'Audit Values'!$A$2:$AE$439,15,FALSE))</f>
        <v>125</v>
      </c>
      <c r="AJ68" s="1">
        <f t="shared" si="90"/>
        <v>37.299999999999997</v>
      </c>
      <c r="AK68" s="1">
        <f>CC68/Weightings!$M$5</f>
        <v>0</v>
      </c>
      <c r="AL68" s="1">
        <f>CD68/Weightings!$M$5</f>
        <v>0</v>
      </c>
      <c r="AM68" s="1">
        <f>CH68/Weightings!$M$5</f>
        <v>0</v>
      </c>
      <c r="AN68" s="1">
        <f t="shared" si="118"/>
        <v>0</v>
      </c>
      <c r="AO68" s="1">
        <f>IF(ISNA(VLOOKUP($CZ68,'Audit Values'!$A$2:$AE$439,2,FALSE)),'Preliminary SO66'!X65,VLOOKUP($CZ68,'Audit Values'!$A$2:$AE$439,24,FALSE))</f>
        <v>0</v>
      </c>
      <c r="AP68" s="188">
        <v>392356</v>
      </c>
      <c r="AQ68" s="113">
        <f>AP68/Weightings!$M$5</f>
        <v>102.2</v>
      </c>
      <c r="AR68" s="113">
        <f t="shared" si="91"/>
        <v>559.6</v>
      </c>
      <c r="AS68" s="1">
        <f t="shared" si="92"/>
        <v>661.8</v>
      </c>
      <c r="AT68" s="1">
        <f t="shared" si="93"/>
        <v>661.8</v>
      </c>
      <c r="AU68" s="2">
        <f t="shared" si="119"/>
        <v>0</v>
      </c>
      <c r="AV68" s="82">
        <f>IF(ISNA(VLOOKUP($CZ68,'Audit Values'!$A$2:$AC$360,2,FALSE)),"",IF(AND(Weightings!H68&gt;0,VLOOKUP($CZ68,'Audit Values'!$A$2:$AC$360,29,FALSE)&lt;Weightings!H68),Weightings!H68,VLOOKUP($CZ68,'Audit Values'!$A$2:$AC$360,29,FALSE)))</f>
        <v>1</v>
      </c>
      <c r="AW68" s="82" t="str">
        <f>IF(ISNA(VLOOKUP($CZ68,'Audit Values'!$A$2:$AD$360,2,FALSE)),"",VLOOKUP($CZ68,'Audit Values'!$A$2:$AD$360,30,FALSE))</f>
        <v>A</v>
      </c>
      <c r="AX68" s="82" t="str">
        <f>IF(Weightings!G68="","",IF(Weightings!I68="Pending","PX","R"))</f>
        <v/>
      </c>
      <c r="AY68" s="114">
        <f>AR68*Weightings!$M$5+AU68</f>
        <v>2147745</v>
      </c>
      <c r="AZ68" s="2">
        <f>AT68*Weightings!$M$5+AU68</f>
        <v>2539988</v>
      </c>
      <c r="BA68" s="2">
        <f>IF(Weightings!G68&gt;0,Weightings!G68,'Preliminary SO66'!AB65)</f>
        <v>2870056</v>
      </c>
      <c r="BB68" s="2">
        <f t="shared" si="94"/>
        <v>2539988</v>
      </c>
      <c r="BC68" s="124"/>
      <c r="BD68" s="124">
        <f>Weightings!E68</f>
        <v>0</v>
      </c>
      <c r="BE68" s="124">
        <f>Weightings!F68</f>
        <v>0</v>
      </c>
      <c r="BF68" s="2">
        <f t="shared" si="95"/>
        <v>0</v>
      </c>
      <c r="BG68" s="2">
        <f t="shared" si="96"/>
        <v>2539988</v>
      </c>
      <c r="BH68" s="2">
        <f>MAX(ROUND(((AR68-AO68)*4433)+AP68,0),ROUND(((AR68-AO68)*4433)+Weightings!B68,0))</f>
        <v>2923395</v>
      </c>
      <c r="BI68" s="174">
        <v>0.3</v>
      </c>
      <c r="BJ68" s="2">
        <f t="shared" si="134"/>
        <v>877019</v>
      </c>
      <c r="BK68" s="173">
        <v>643800</v>
      </c>
      <c r="BL68" s="2">
        <f t="shared" si="98"/>
        <v>643800</v>
      </c>
      <c r="BM68" s="3">
        <f t="shared" si="120"/>
        <v>0.22020000000000001</v>
      </c>
      <c r="BN68" s="1">
        <f t="shared" si="99"/>
        <v>0</v>
      </c>
      <c r="BO68" s="4" t="b">
        <f t="shared" si="100"/>
        <v>1</v>
      </c>
      <c r="BP68" s="5">
        <f t="shared" si="101"/>
        <v>1887.5530000000001</v>
      </c>
      <c r="BQ68" s="6">
        <f t="shared" si="140"/>
        <v>0.496114</v>
      </c>
      <c r="BR68" s="4">
        <f t="shared" si="103"/>
        <v>146.6</v>
      </c>
      <c r="BS68" s="4" t="b">
        <f t="shared" si="104"/>
        <v>0</v>
      </c>
      <c r="BT68" s="4">
        <f t="shared" si="105"/>
        <v>0</v>
      </c>
      <c r="BU68" s="6">
        <f t="shared" si="141"/>
        <v>0</v>
      </c>
      <c r="BV68" s="1">
        <f t="shared" si="107"/>
        <v>0</v>
      </c>
      <c r="BW68" s="1">
        <f t="shared" si="108"/>
        <v>0</v>
      </c>
      <c r="BX68" s="116">
        <v>225</v>
      </c>
      <c r="BY68" s="7">
        <f t="shared" si="121"/>
        <v>0.56000000000000005</v>
      </c>
      <c r="BZ68" s="7">
        <f>IF(ROUND((Weightings!$P$5*BY68^Weightings!$P$6*Weightings!$P$8 ),2)&lt;Weightings!$P$7,Weightings!$P$7,ROUND((Weightings!$P$5*BY68^Weightings!$P$6*Weightings!$P$8 ),2))</f>
        <v>1143.96</v>
      </c>
      <c r="CA68" s="8">
        <f>ROUND(BZ68/Weightings!$M$5,4)</f>
        <v>0.29809999999999998</v>
      </c>
      <c r="CB68" s="1">
        <f t="shared" si="122"/>
        <v>37.299999999999997</v>
      </c>
      <c r="CC68" s="173">
        <v>0</v>
      </c>
      <c r="CD68" s="173">
        <v>0</v>
      </c>
      <c r="CE68" s="173">
        <v>0</v>
      </c>
      <c r="CF68" s="177">
        <v>0</v>
      </c>
      <c r="CG68" s="2">
        <f>AS68*Weightings!$M$5*CF68</f>
        <v>0</v>
      </c>
      <c r="CH68" s="2">
        <f t="shared" si="123"/>
        <v>0</v>
      </c>
      <c r="CI68" s="117">
        <f t="shared" si="111"/>
        <v>0.45700000000000002</v>
      </c>
      <c r="CJ68" s="4">
        <f t="shared" si="112"/>
        <v>1.3</v>
      </c>
      <c r="CK68" s="1">
        <f t="shared" si="124"/>
        <v>0</v>
      </c>
      <c r="CL68" s="1">
        <f t="shared" si="125"/>
        <v>0</v>
      </c>
      <c r="CM68" s="1">
        <f t="shared" si="126"/>
        <v>10.1</v>
      </c>
      <c r="CN68" s="1">
        <f>IF(ISNA(VLOOKUP($CZ68,'Audit Values'!$A$2:$AE$439,2,FALSE)),'Preliminary SO66'!T65,VLOOKUP($CZ68,'Audit Values'!$A$2:$AE$439,20,FALSE))</f>
        <v>0</v>
      </c>
      <c r="CO68" s="1">
        <f t="shared" si="127"/>
        <v>0</v>
      </c>
      <c r="CP68" s="183">
        <v>0</v>
      </c>
      <c r="CQ68" s="1">
        <f t="shared" si="128"/>
        <v>0</v>
      </c>
      <c r="CR68" s="2">
        <f>IF(ISNA(VLOOKUP($CZ68,'Audit Values'!$A$2:$AE$439,2,FALSE)),'Preliminary SO66'!V65,VLOOKUP($CZ68,'Audit Values'!$A$2:$AE$439,22,FALSE))</f>
        <v>0</v>
      </c>
      <c r="CS68" s="1">
        <f t="shared" si="129"/>
        <v>0</v>
      </c>
      <c r="CT68" s="2">
        <f>IF(ISNA(VLOOKUP($CZ68,'Audit Values'!$A$2:$AE$439,2,FALSE)),'Preliminary SO66'!W65,VLOOKUP($CZ68,'Audit Values'!$A$2:$AE$439,23,FALSE))</f>
        <v>0</v>
      </c>
      <c r="CU68" s="1">
        <f t="shared" si="138"/>
        <v>0</v>
      </c>
      <c r="CV68" s="1">
        <f t="shared" si="139"/>
        <v>0</v>
      </c>
      <c r="CW68" s="176">
        <v>0</v>
      </c>
      <c r="CX68" s="2">
        <f>IF(CW68&gt;0,Weightings!$M$11*AR68,0)</f>
        <v>0</v>
      </c>
      <c r="CY68" s="2">
        <f t="shared" si="130"/>
        <v>0</v>
      </c>
      <c r="CZ68" s="108" t="s">
        <v>360</v>
      </c>
    </row>
    <row r="69" spans="1:104">
      <c r="A69" s="82">
        <v>257</v>
      </c>
      <c r="B69" s="4" t="s">
        <v>34</v>
      </c>
      <c r="C69" s="4" t="s">
        <v>696</v>
      </c>
      <c r="D69" s="1">
        <v>1288.5</v>
      </c>
      <c r="E69" s="1">
        <v>0</v>
      </c>
      <c r="F69" s="1">
        <f t="shared" si="135"/>
        <v>1288.5</v>
      </c>
      <c r="G69" s="1">
        <v>1257</v>
      </c>
      <c r="H69" s="1">
        <v>0</v>
      </c>
      <c r="I69" s="1">
        <f t="shared" ref="I69:I132" si="142">G69+H69</f>
        <v>1257</v>
      </c>
      <c r="J69" s="1">
        <f t="shared" ref="J69:J132" si="143">K69+T69</f>
        <v>1258.5</v>
      </c>
      <c r="K69" s="1">
        <f>IF(ISNA(VLOOKUP($CZ69,'Audit Values'!$A$2:$AE$439,2,FALSE)),'Preliminary SO66'!B66,VLOOKUP($CZ69,'Audit Values'!$A$2:$AE$439,31,FALSE))</f>
        <v>1258.5</v>
      </c>
      <c r="L69" s="1">
        <f t="shared" ref="L69:L132" si="144">MAX(K69, I69,AVERAGE(F69, I69, K69))</f>
        <v>1268</v>
      </c>
      <c r="M69" s="1">
        <f>IF(ISNA(VLOOKUP($CZ69,'Audit Values'!$A$2:$AE$439,2,FALSE)),'Preliminary SO66'!Z66,VLOOKUP($CZ69,'Audit Values'!$A$2:$AE$439,26,FALSE))</f>
        <v>0</v>
      </c>
      <c r="N69" s="1">
        <f t="shared" ref="N69:N132" si="145">L69+M69</f>
        <v>1268</v>
      </c>
      <c r="O69" s="1">
        <f>IF(ISNA(VLOOKUP($CZ69,'Audit Values'!$A$2:$AE$439,2,FALSE)),'Preliminary SO66'!C66,IF(VLOOKUP($CZ69,'Audit Values'!$A$2:$AE$439,28,FALSE)="",VLOOKUP($CZ69,'Audit Values'!$A$2:$AE$439,3,FALSE),VLOOKUP($CZ69,'Audit Values'!$A$2:$AE$439,28,FALSE)))</f>
        <v>14</v>
      </c>
      <c r="P69" s="109">
        <f t="shared" ref="P69:P132" si="146">K69+O69</f>
        <v>1272.5</v>
      </c>
      <c r="Q69" s="110">
        <f t="shared" ref="Q69:Q132" si="147">J69+O69</f>
        <v>1272.5</v>
      </c>
      <c r="R69" s="111">
        <f t="shared" ref="R69:R132" si="148">J69+O69+M69</f>
        <v>1272.5</v>
      </c>
      <c r="S69" s="1">
        <f t="shared" ref="S69:S132" si="149">L69+M69+O69</f>
        <v>1282</v>
      </c>
      <c r="T69" s="1">
        <f t="shared" si="133"/>
        <v>0</v>
      </c>
      <c r="U69" s="9">
        <f t="shared" ref="U69:U132" si="150">IF(L69&gt;0,MAX(BN69,BR69,BV69,BW69),0)</f>
        <v>193</v>
      </c>
      <c r="V69" s="1">
        <f t="shared" si="88"/>
        <v>193</v>
      </c>
      <c r="W69" s="1">
        <f t="shared" si="89"/>
        <v>0</v>
      </c>
      <c r="X69" s="1">
        <f>IF(ISNA(VLOOKUP($CZ69,'Audit Values'!$A$2:$AE$439,2,FALSE)),'Preliminary SO66'!D66,VLOOKUP($CZ69,'Audit Values'!$A$2:$AE$439,4,FALSE))</f>
        <v>253</v>
      </c>
      <c r="Y69" s="1">
        <f>ROUND((X69/6)*Weightings!$M$6,1)</f>
        <v>21.1</v>
      </c>
      <c r="Z69" s="1">
        <f>IF(ISNA(VLOOKUP($CZ69,'Audit Values'!$A$2:$AE$439,2,FALSE)),'Preliminary SO66'!F66,VLOOKUP($CZ69,'Audit Values'!$A$2:$AE$439,6,FALSE))</f>
        <v>0</v>
      </c>
      <c r="AA69" s="1">
        <f>ROUND((Z69/6)*Weightings!$M$7,1)</f>
        <v>0</v>
      </c>
      <c r="AB69" s="2">
        <f>IF(ISNA(VLOOKUP($CZ69,'Audit Values'!$A$2:$AE$439,2,FALSE)),'Preliminary SO66'!H66,VLOOKUP($CZ69,'Audit Values'!$A$2:$AE$439,8,FALSE))</f>
        <v>706</v>
      </c>
      <c r="AC69" s="1">
        <f>ROUND(AB69*Weightings!$M$8,1)</f>
        <v>321.89999999999998</v>
      </c>
      <c r="AD69" s="1">
        <f t="shared" si="117"/>
        <v>74.099999999999994</v>
      </c>
      <c r="AE69" s="185">
        <v>75</v>
      </c>
      <c r="AF69" s="1">
        <f>AE69*Weightings!$M$9</f>
        <v>3.5</v>
      </c>
      <c r="AG69" s="1">
        <f>IF(ISNA(VLOOKUP($CZ69,'Audit Values'!$A$2:$AE$439,2,FALSE)),'Preliminary SO66'!L66,VLOOKUP($CZ69,'Audit Values'!$A$2:$AE$439,12,FALSE))</f>
        <v>0</v>
      </c>
      <c r="AH69" s="1">
        <f>ROUND(AG69*Weightings!$M$10,1)</f>
        <v>0</v>
      </c>
      <c r="AI69" s="1">
        <f>IF(ISNA(VLOOKUP($CZ69,'Audit Values'!$A$2:$AE$439,2,FALSE)),'Preliminary SO66'!O66,VLOOKUP($CZ69,'Audit Values'!$A$2:$AE$439,15,FALSE))</f>
        <v>348</v>
      </c>
      <c r="AJ69" s="1">
        <f t="shared" ref="AJ69:AJ132" si="151">CB69</f>
        <v>73.900000000000006</v>
      </c>
      <c r="AK69" s="1">
        <f>CC69/Weightings!$M$5</f>
        <v>0</v>
      </c>
      <c r="AL69" s="1">
        <f>CD69/Weightings!$M$5</f>
        <v>0</v>
      </c>
      <c r="AM69" s="1">
        <f>CH69/Weightings!$M$5</f>
        <v>0</v>
      </c>
      <c r="AN69" s="1">
        <f t="shared" si="118"/>
        <v>0</v>
      </c>
      <c r="AO69" s="1">
        <f>IF(ISNA(VLOOKUP($CZ69,'Audit Values'!$A$2:$AE$439,2,FALSE)),'Preliminary SO66'!X66,VLOOKUP($CZ69,'Audit Values'!$A$2:$AE$439,24,FALSE))</f>
        <v>0</v>
      </c>
      <c r="AP69" s="188">
        <v>1653321</v>
      </c>
      <c r="AQ69" s="113">
        <f>AP69/Weightings!$M$5</f>
        <v>430.8</v>
      </c>
      <c r="AR69" s="113">
        <f t="shared" ref="AR69:AR132" si="152">SUM(S69+ U69+ Y69+ AA69+ AC69+ AH69+ AJ69+ AK69+ AL69+ AD69+AF69+AM69+AN69+AO69)</f>
        <v>1969.5</v>
      </c>
      <c r="AS69" s="1">
        <f t="shared" ref="AS69:AS132" si="153">SUM(S69+U69+Y69+AA69+AC69+AH69+AJ69+AK69+AL69+AD69+AF69+AQ69+AN69+AO69)</f>
        <v>2400.3000000000002</v>
      </c>
      <c r="AT69" s="1">
        <f t="shared" ref="AT69:AT132" si="154">SUM(S69+U69+Y69+AA69+AC69+AH69+AJ69+AK69+AL69+AQ69+AD69+AF69+AM69+AN69+AO69)</f>
        <v>2400.3000000000002</v>
      </c>
      <c r="AU69" s="2">
        <f t="shared" si="119"/>
        <v>0</v>
      </c>
      <c r="AV69" s="82">
        <f>IF(ISNA(VLOOKUP($CZ69,'Audit Values'!$A$2:$AC$360,2,FALSE)),"",IF(AND(Weightings!H69&gt;0,VLOOKUP($CZ69,'Audit Values'!$A$2:$AC$360,29,FALSE)&lt;Weightings!H69),Weightings!H69,VLOOKUP($CZ69,'Audit Values'!$A$2:$AC$360,29,FALSE)))</f>
        <v>10</v>
      </c>
      <c r="AW69" s="82" t="str">
        <f>IF(ISNA(VLOOKUP($CZ69,'Audit Values'!$A$2:$AD$360,2,FALSE)),"",VLOOKUP($CZ69,'Audit Values'!$A$2:$AD$360,30,FALSE))</f>
        <v>A</v>
      </c>
      <c r="AX69" s="82" t="str">
        <f>IF(Weightings!G69="","",IF(Weightings!I69="Pending","PX","R"))</f>
        <v/>
      </c>
      <c r="AY69" s="114">
        <f>AR69*Weightings!$M$5+AU69</f>
        <v>7558941</v>
      </c>
      <c r="AZ69" s="2">
        <f>AT69*Weightings!$M$5+AU69</f>
        <v>9212351</v>
      </c>
      <c r="BA69" s="2">
        <f>IF(Weightings!G69&gt;0,Weightings!G69,'Preliminary SO66'!AB66)</f>
        <v>9380840</v>
      </c>
      <c r="BB69" s="2">
        <f t="shared" ref="BB69:BB132" si="155">MIN(AZ69,BA69)</f>
        <v>9212351</v>
      </c>
      <c r="BC69" s="124"/>
      <c r="BD69" s="124">
        <f>Weightings!E69</f>
        <v>-3286</v>
      </c>
      <c r="BE69" s="124">
        <f>Weightings!F69</f>
        <v>0</v>
      </c>
      <c r="BF69" s="2">
        <f t="shared" ref="BF69:BF132" si="156">SUM(BC69:BE69)</f>
        <v>-3286</v>
      </c>
      <c r="BG69" s="2">
        <f t="shared" ref="BG69:BG132" si="157">BB69+BF69</f>
        <v>9209065</v>
      </c>
      <c r="BH69" s="2">
        <f>MAX(ROUND(((AR69-AO69)*4433)+AP69,0),ROUND(((AR69-AO69)*4433)+Weightings!B69,0))</f>
        <v>10479131</v>
      </c>
      <c r="BI69" s="174">
        <v>0.3</v>
      </c>
      <c r="BJ69" s="2">
        <f t="shared" si="134"/>
        <v>3143739</v>
      </c>
      <c r="BK69" s="173">
        <v>3167336</v>
      </c>
      <c r="BL69" s="2">
        <f t="shared" ref="BL69:BL126" si="158">MIN(BJ69,BK69)</f>
        <v>3143739</v>
      </c>
      <c r="BM69" s="3">
        <f t="shared" si="120"/>
        <v>0.3</v>
      </c>
      <c r="BN69" s="1">
        <f t="shared" ref="BN69:BN132" si="159">ROUND(IF(S69&lt;=99.9,(S69*1.014331),0),1)</f>
        <v>0</v>
      </c>
      <c r="BO69" s="4" t="b">
        <f t="shared" ref="BO69:BO132" si="160">AND(S69&gt;99.9,S69&lt;=299.9)</f>
        <v>0</v>
      </c>
      <c r="BP69" s="5">
        <f t="shared" ref="BP69:BP132" si="161">IF(BO69=TRUE,ROUND((S69-100)*9.655,3),0)</f>
        <v>0</v>
      </c>
      <c r="BQ69" s="6">
        <f t="shared" si="140"/>
        <v>0</v>
      </c>
      <c r="BR69" s="4">
        <f t="shared" ref="BR69:BR132" si="162">ROUND(S69*BQ69,1)</f>
        <v>0</v>
      </c>
      <c r="BS69" s="4" t="b">
        <f t="shared" ref="BS69:BS132" si="163">AND(S69&gt;299.9,S69&lt;=1621.9)</f>
        <v>1</v>
      </c>
      <c r="BT69" s="4">
        <f t="shared" ref="BT69:BT132" si="164">IF(BS69=TRUE,ROUND((S69-300)*1.2375,4),0)</f>
        <v>1215.2249999999999</v>
      </c>
      <c r="BU69" s="6">
        <f t="shared" si="141"/>
        <v>0.15055299999999999</v>
      </c>
      <c r="BV69" s="1">
        <f t="shared" ref="BV69:BV132" si="165">ROUND(BU69*S69,1)</f>
        <v>193</v>
      </c>
      <c r="BW69" s="1">
        <f t="shared" ref="BW69:BW132" si="166">ROUND(IF(S69&gt;=1622,(S69*0.03504),0),1)</f>
        <v>0</v>
      </c>
      <c r="BX69" s="116">
        <v>140.5</v>
      </c>
      <c r="BY69" s="7">
        <f t="shared" si="121"/>
        <v>2.48</v>
      </c>
      <c r="BZ69" s="7">
        <f>IF(ROUND((Weightings!$P$5*BY69^Weightings!$P$6*Weightings!$P$8 ),2)&lt;Weightings!$P$7,Weightings!$P$7,ROUND((Weightings!$P$5*BY69^Weightings!$P$6*Weightings!$P$8 ),2))</f>
        <v>814.7</v>
      </c>
      <c r="CA69" s="8">
        <f>ROUND(BZ69/Weightings!$M$5,4)</f>
        <v>0.21229999999999999</v>
      </c>
      <c r="CB69" s="1">
        <f t="shared" si="122"/>
        <v>73.900000000000006</v>
      </c>
      <c r="CC69" s="173">
        <v>0</v>
      </c>
      <c r="CD69" s="173">
        <v>0</v>
      </c>
      <c r="CE69" s="173">
        <v>0</v>
      </c>
      <c r="CF69" s="177">
        <v>0</v>
      </c>
      <c r="CG69" s="2">
        <f>AS69*Weightings!$M$5*CF69</f>
        <v>0</v>
      </c>
      <c r="CH69" s="2">
        <f t="shared" si="123"/>
        <v>0</v>
      </c>
      <c r="CI69" s="117">
        <f t="shared" ref="CI69:CI132" si="167">ROUND(AB69/S69,3)</f>
        <v>0.55100000000000005</v>
      </c>
      <c r="CJ69" s="4">
        <f t="shared" ref="CJ69:CJ132" si="168">ROUND(S69/BX69,1)</f>
        <v>9.1</v>
      </c>
      <c r="CK69" s="1">
        <f t="shared" si="124"/>
        <v>74.099999999999994</v>
      </c>
      <c r="CL69" s="1">
        <f t="shared" si="125"/>
        <v>0</v>
      </c>
      <c r="CM69" s="1">
        <f t="shared" si="126"/>
        <v>0</v>
      </c>
      <c r="CN69" s="1">
        <f>IF(ISNA(VLOOKUP($CZ69,'Audit Values'!$A$2:$AE$439,2,FALSE)),'Preliminary SO66'!T66,VLOOKUP($CZ69,'Audit Values'!$A$2:$AE$439,20,FALSE))</f>
        <v>0</v>
      </c>
      <c r="CO69" s="1">
        <f t="shared" si="127"/>
        <v>0</v>
      </c>
      <c r="CP69" s="183">
        <v>0</v>
      </c>
      <c r="CQ69" s="1">
        <f t="shared" si="128"/>
        <v>0</v>
      </c>
      <c r="CR69" s="2">
        <f>IF(ISNA(VLOOKUP($CZ69,'Audit Values'!$A$2:$AE$439,2,FALSE)),'Preliminary SO66'!V66,VLOOKUP($CZ69,'Audit Values'!$A$2:$AE$439,22,FALSE))</f>
        <v>0</v>
      </c>
      <c r="CS69" s="1">
        <f t="shared" si="129"/>
        <v>0</v>
      </c>
      <c r="CT69" s="2">
        <f>IF(ISNA(VLOOKUP($CZ69,'Audit Values'!$A$2:$AE$439,2,FALSE)),'Preliminary SO66'!W66,VLOOKUP($CZ69,'Audit Values'!$A$2:$AE$439,23,FALSE))</f>
        <v>0</v>
      </c>
      <c r="CU69" s="1">
        <f t="shared" si="138"/>
        <v>0</v>
      </c>
      <c r="CV69" s="1">
        <f t="shared" si="139"/>
        <v>0</v>
      </c>
      <c r="CW69" s="176">
        <v>0</v>
      </c>
      <c r="CX69" s="2">
        <f>IF(CW69&gt;0,Weightings!$M$11*AR69,0)</f>
        <v>0</v>
      </c>
      <c r="CY69" s="2">
        <f t="shared" si="130"/>
        <v>0</v>
      </c>
      <c r="CZ69" s="108" t="s">
        <v>361</v>
      </c>
    </row>
    <row r="70" spans="1:104">
      <c r="A70" s="82">
        <v>258</v>
      </c>
      <c r="B70" s="4" t="s">
        <v>34</v>
      </c>
      <c r="C70" s="4" t="s">
        <v>697</v>
      </c>
      <c r="D70" s="1">
        <v>536</v>
      </c>
      <c r="E70" s="1">
        <v>0</v>
      </c>
      <c r="F70" s="1">
        <f t="shared" si="135"/>
        <v>536</v>
      </c>
      <c r="G70" s="1">
        <v>555.5</v>
      </c>
      <c r="H70" s="1">
        <v>0</v>
      </c>
      <c r="I70" s="1">
        <f t="shared" si="142"/>
        <v>555.5</v>
      </c>
      <c r="J70" s="1">
        <f t="shared" si="143"/>
        <v>734.5</v>
      </c>
      <c r="K70" s="1">
        <f>IF(ISNA(VLOOKUP($CZ70,'Audit Values'!$A$2:$AE$439,2,FALSE)),'Preliminary SO66'!B67,VLOOKUP($CZ70,'Audit Values'!$A$2:$AE$439,31,FALSE))</f>
        <v>586.6</v>
      </c>
      <c r="L70" s="1">
        <f t="shared" si="144"/>
        <v>586.6</v>
      </c>
      <c r="M70" s="1">
        <f>IF(ISNA(VLOOKUP($CZ70,'Audit Values'!$A$2:$AE$439,2,FALSE)),'Preliminary SO66'!Z67,VLOOKUP($CZ70,'Audit Values'!$A$2:$AE$439,26,FALSE))</f>
        <v>0</v>
      </c>
      <c r="N70" s="1">
        <f t="shared" si="145"/>
        <v>586.6</v>
      </c>
      <c r="O70" s="1">
        <f>IF(ISNA(VLOOKUP($CZ70,'Audit Values'!$A$2:$AE$439,2,FALSE)),'Preliminary SO66'!C67,IF(VLOOKUP($CZ70,'Audit Values'!$A$2:$AE$439,28,FALSE)="",VLOOKUP($CZ70,'Audit Values'!$A$2:$AE$439,3,FALSE),VLOOKUP($CZ70,'Audit Values'!$A$2:$AE$439,28,FALSE)))</f>
        <v>5</v>
      </c>
      <c r="P70" s="109">
        <f t="shared" si="146"/>
        <v>591.6</v>
      </c>
      <c r="Q70" s="110">
        <f t="shared" si="147"/>
        <v>739.5</v>
      </c>
      <c r="R70" s="111">
        <f t="shared" si="148"/>
        <v>739.5</v>
      </c>
      <c r="S70" s="1">
        <f t="shared" si="149"/>
        <v>591.6</v>
      </c>
      <c r="T70" s="1">
        <f t="shared" si="133"/>
        <v>147.9</v>
      </c>
      <c r="U70" s="1">
        <f t="shared" si="150"/>
        <v>227.8</v>
      </c>
      <c r="V70" s="1">
        <f t="shared" si="88"/>
        <v>227.8</v>
      </c>
      <c r="W70" s="1">
        <f t="shared" si="89"/>
        <v>0</v>
      </c>
      <c r="X70" s="1">
        <f>IF(ISNA(VLOOKUP($CZ70,'Audit Values'!$A$2:$AE$439,2,FALSE)),'Preliminary SO66'!D67,VLOOKUP($CZ70,'Audit Values'!$A$2:$AE$439,4,FALSE))</f>
        <v>262.10000000000002</v>
      </c>
      <c r="Y70" s="1">
        <f>ROUND((X70/6)*Weightings!$M$6,1)</f>
        <v>21.8</v>
      </c>
      <c r="Z70" s="1">
        <f>IF(ISNA(VLOOKUP($CZ70,'Audit Values'!$A$2:$AE$439,2,FALSE)),'Preliminary SO66'!F67,VLOOKUP($CZ70,'Audit Values'!$A$2:$AE$439,6,FALSE))</f>
        <v>0</v>
      </c>
      <c r="AA70" s="1">
        <f>ROUND((Z70/6)*Weightings!$M$7,1)</f>
        <v>0</v>
      </c>
      <c r="AB70" s="2">
        <f>IF(ISNA(VLOOKUP($CZ70,'Audit Values'!$A$2:$AE$439,2,FALSE)),'Preliminary SO66'!H67,VLOOKUP($CZ70,'Audit Values'!$A$2:$AE$439,8,FALSE))</f>
        <v>262</v>
      </c>
      <c r="AC70" s="1">
        <f>ROUND(AB70*Weightings!$M$8,1)</f>
        <v>119.5</v>
      </c>
      <c r="AD70" s="1">
        <f t="shared" ref="AD70:AD127" si="169">MAX(CK70,CL70,CM70)</f>
        <v>17.100000000000001</v>
      </c>
      <c r="AE70" s="185">
        <v>31</v>
      </c>
      <c r="AF70" s="1">
        <f>AE70*Weightings!$M$9</f>
        <v>1.4</v>
      </c>
      <c r="AG70" s="1">
        <f>IF(ISNA(VLOOKUP($CZ70,'Audit Values'!$A$2:$AE$439,2,FALSE)),'Preliminary SO66'!L67,VLOOKUP($CZ70,'Audit Values'!$A$2:$AE$439,12,FALSE))</f>
        <v>0</v>
      </c>
      <c r="AH70" s="1">
        <f>ROUND(AG70*Weightings!$M$10,1)</f>
        <v>0</v>
      </c>
      <c r="AI70" s="1">
        <f>IF(ISNA(VLOOKUP($CZ70,'Audit Values'!$A$2:$AE$439,2,FALSE)),'Preliminary SO66'!O67,VLOOKUP($CZ70,'Audit Values'!$A$2:$AE$439,15,FALSE))</f>
        <v>86</v>
      </c>
      <c r="AJ70" s="1">
        <f t="shared" si="151"/>
        <v>24.5</v>
      </c>
      <c r="AK70" s="1">
        <f>CC70/Weightings!$M$5</f>
        <v>0</v>
      </c>
      <c r="AL70" s="1">
        <f>CD70/Weightings!$M$5</f>
        <v>0</v>
      </c>
      <c r="AM70" s="1">
        <f>CH70/Weightings!$M$5</f>
        <v>0</v>
      </c>
      <c r="AN70" s="1">
        <f t="shared" si="118"/>
        <v>156.30000000000001</v>
      </c>
      <c r="AO70" s="1">
        <f>IF(ISNA(VLOOKUP($CZ70,'Audit Values'!$A$2:$AE$439,2,FALSE)),'Preliminary SO66'!X67,VLOOKUP($CZ70,'Audit Values'!$A$2:$AE$439,24,FALSE))</f>
        <v>0</v>
      </c>
      <c r="AP70" s="188">
        <v>665778</v>
      </c>
      <c r="AQ70" s="113">
        <f>AP70/Weightings!$M$5</f>
        <v>173.5</v>
      </c>
      <c r="AR70" s="113">
        <f t="shared" si="152"/>
        <v>1160</v>
      </c>
      <c r="AS70" s="1">
        <f t="shared" si="153"/>
        <v>1333.5</v>
      </c>
      <c r="AT70" s="1">
        <f t="shared" si="154"/>
        <v>1333.5</v>
      </c>
      <c r="AU70" s="2">
        <f t="shared" ref="AU70:AU133" si="170">CY70</f>
        <v>0</v>
      </c>
      <c r="AV70" s="82">
        <f>IF(ISNA(VLOOKUP($CZ70,'Audit Values'!$A$2:$AC$360,2,FALSE)),"",IF(AND(Weightings!H70&gt;0,VLOOKUP($CZ70,'Audit Values'!$A$2:$AC$360,29,FALSE)&lt;Weightings!H70),Weightings!H70,VLOOKUP($CZ70,'Audit Values'!$A$2:$AC$360,29,FALSE)))</f>
        <v>31</v>
      </c>
      <c r="AW70" s="82" t="str">
        <f>IF(ISNA(VLOOKUP($CZ70,'Audit Values'!$A$2:$AD$360,2,FALSE)),"",VLOOKUP($CZ70,'Audit Values'!$A$2:$AD$360,30,FALSE))</f>
        <v>A</v>
      </c>
      <c r="AX70" s="82" t="str">
        <f>IF(Weightings!G70="","",IF(Weightings!I70="Pending","PX","R"))</f>
        <v>R</v>
      </c>
      <c r="AY70" s="114">
        <f>AR70*Weightings!$M$5+AU70</f>
        <v>4452080</v>
      </c>
      <c r="AZ70" s="2">
        <f>AT70*Weightings!$M$5+AU70</f>
        <v>5117973</v>
      </c>
      <c r="BA70" s="2">
        <f>IF(Weightings!G70&gt;0,Weightings!G70,'Preliminary SO66'!AB67)</f>
        <v>5231578</v>
      </c>
      <c r="BB70" s="2">
        <f t="shared" si="155"/>
        <v>5117973</v>
      </c>
      <c r="BC70" s="124"/>
      <c r="BD70" s="124">
        <f>Weightings!E70</f>
        <v>0</v>
      </c>
      <c r="BE70" s="124">
        <f>Weightings!F70</f>
        <v>0</v>
      </c>
      <c r="BF70" s="2">
        <f t="shared" si="156"/>
        <v>0</v>
      </c>
      <c r="BG70" s="2">
        <f t="shared" si="157"/>
        <v>5117973</v>
      </c>
      <c r="BH70" s="2">
        <f>MAX(ROUND(((AR70-AO70)*4433)+AP70,0),ROUND(((AR70-AO70)*4433)+Weightings!B70,0))</f>
        <v>5808058</v>
      </c>
      <c r="BI70" s="174">
        <v>0.3</v>
      </c>
      <c r="BJ70" s="2">
        <f t="shared" si="134"/>
        <v>1742417</v>
      </c>
      <c r="BK70" s="173">
        <v>1644637</v>
      </c>
      <c r="BL70" s="2">
        <f t="shared" si="158"/>
        <v>1644637</v>
      </c>
      <c r="BM70" s="3">
        <f t="shared" ref="BM70:BM133" si="171">BL70/BH70</f>
        <v>0.28320000000000001</v>
      </c>
      <c r="BN70" s="1">
        <f t="shared" si="159"/>
        <v>0</v>
      </c>
      <c r="BO70" s="4" t="b">
        <f t="shared" si="160"/>
        <v>0</v>
      </c>
      <c r="BP70" s="5">
        <f t="shared" si="161"/>
        <v>0</v>
      </c>
      <c r="BQ70" s="6">
        <f t="shared" si="140"/>
        <v>0</v>
      </c>
      <c r="BR70" s="4">
        <f t="shared" si="162"/>
        <v>0</v>
      </c>
      <c r="BS70" s="4" t="b">
        <f t="shared" si="163"/>
        <v>1</v>
      </c>
      <c r="BT70" s="4">
        <f t="shared" si="164"/>
        <v>360.85500000000002</v>
      </c>
      <c r="BU70" s="6">
        <f t="shared" si="141"/>
        <v>0.38511600000000001</v>
      </c>
      <c r="BV70" s="1">
        <f t="shared" si="165"/>
        <v>227.8</v>
      </c>
      <c r="BW70" s="1">
        <f t="shared" si="166"/>
        <v>0</v>
      </c>
      <c r="BX70" s="116">
        <v>126</v>
      </c>
      <c r="BY70" s="7">
        <f t="shared" ref="BY70:BY133" si="172">AI70/BX70</f>
        <v>0.68</v>
      </c>
      <c r="BZ70" s="7">
        <f>IF(ROUND((Weightings!$P$5*BY70^Weightings!$P$6*Weightings!$P$8 ),2)&lt;Weightings!$P$7,Weightings!$P$7,ROUND((Weightings!$P$5*BY70^Weightings!$P$6*Weightings!$P$8 ),2))</f>
        <v>1094.4100000000001</v>
      </c>
      <c r="CA70" s="8">
        <f>ROUND(BZ70/Weightings!$M$5,4)</f>
        <v>0.28520000000000001</v>
      </c>
      <c r="CB70" s="1">
        <f t="shared" ref="CB70:CB133" si="173">ROUND(IF(AI70&gt;0,CA70*AI70,0),1)</f>
        <v>24.5</v>
      </c>
      <c r="CC70" s="173">
        <v>0</v>
      </c>
      <c r="CD70" s="173">
        <v>0</v>
      </c>
      <c r="CE70" s="173">
        <v>0</v>
      </c>
      <c r="CF70" s="177">
        <v>0</v>
      </c>
      <c r="CG70" s="2">
        <f>AS70*Weightings!$M$5*CF70</f>
        <v>0</v>
      </c>
      <c r="CH70" s="2">
        <f t="shared" ref="CH70:CH127" si="174">IF(CE70&gt;CG70,CG70,CE70)</f>
        <v>0</v>
      </c>
      <c r="CI70" s="117">
        <f t="shared" si="167"/>
        <v>0.443</v>
      </c>
      <c r="CJ70" s="4">
        <f t="shared" si="168"/>
        <v>4.7</v>
      </c>
      <c r="CK70" s="1">
        <f t="shared" ref="CK70:CK133" si="175">IF(CI70&gt;=50%,AB70*10.5%,0)</f>
        <v>0</v>
      </c>
      <c r="CL70" s="1">
        <f t="shared" ref="CL70:CL133" si="176">IF(AND(CI70&gt;=35.1%,CJ70&gt;212),AB70*0.105,0)</f>
        <v>0</v>
      </c>
      <c r="CM70" s="1">
        <f t="shared" ref="CM70:CM133" si="177">IF(AND((CI70-0.35)&gt;0,CI70&lt;0.5),AB70*(CI70-0.35)*0.7,0)</f>
        <v>17.100000000000001</v>
      </c>
      <c r="CN70" s="1">
        <f>IF(ISNA(VLOOKUP($CZ70,'Audit Values'!$A$2:$AE$439,2,FALSE)),'Preliminary SO66'!T67,VLOOKUP($CZ70,'Audit Values'!$A$2:$AE$439,20,FALSE))</f>
        <v>147.9</v>
      </c>
      <c r="CO70" s="1">
        <f t="shared" si="127"/>
        <v>155.30000000000001</v>
      </c>
      <c r="CP70" s="181">
        <v>4</v>
      </c>
      <c r="CQ70" s="1">
        <f t="shared" si="128"/>
        <v>1</v>
      </c>
      <c r="CR70" s="2">
        <f>IF(ISNA(VLOOKUP($CZ70,'Audit Values'!$A$2:$AE$439,2,FALSE)),'Preliminary SO66'!V67,VLOOKUP($CZ70,'Audit Values'!$A$2:$AE$439,22,FALSE))</f>
        <v>0</v>
      </c>
      <c r="CS70" s="1">
        <f t="shared" si="129"/>
        <v>0</v>
      </c>
      <c r="CT70" s="2">
        <f>IF(ISNA(VLOOKUP($CZ70,'Audit Values'!$A$2:$AE$439,2,FALSE)),'Preliminary SO66'!W67,VLOOKUP($CZ70,'Audit Values'!$A$2:$AE$439,23,FALSE))</f>
        <v>0</v>
      </c>
      <c r="CU70" s="1">
        <f t="shared" si="138"/>
        <v>0</v>
      </c>
      <c r="CV70" s="1">
        <f t="shared" si="139"/>
        <v>156.30000000000001</v>
      </c>
      <c r="CW70" s="176">
        <v>0</v>
      </c>
      <c r="CX70" s="2">
        <f>IF(CW70&gt;0,Weightings!$M$11*AR70,0)</f>
        <v>0</v>
      </c>
      <c r="CY70" s="2">
        <f t="shared" ref="CY70:CY133" si="178">MIN(CW70,CX70)</f>
        <v>0</v>
      </c>
      <c r="CZ70" s="108" t="s">
        <v>362</v>
      </c>
    </row>
    <row r="71" spans="1:104">
      <c r="A71" s="82">
        <v>259</v>
      </c>
      <c r="B71" s="4" t="s">
        <v>35</v>
      </c>
      <c r="C71" s="4" t="s">
        <v>698</v>
      </c>
      <c r="D71" s="1">
        <v>44797.8</v>
      </c>
      <c r="E71" s="1">
        <v>0</v>
      </c>
      <c r="F71" s="1">
        <f t="shared" si="135"/>
        <v>44797.8</v>
      </c>
      <c r="G71" s="1">
        <v>45287.9</v>
      </c>
      <c r="H71" s="1">
        <v>0</v>
      </c>
      <c r="I71" s="1">
        <f t="shared" si="142"/>
        <v>45287.9</v>
      </c>
      <c r="J71" s="1">
        <f t="shared" si="143"/>
        <v>46082.3</v>
      </c>
      <c r="K71" s="1">
        <f>IF(ISNA(VLOOKUP($CZ71,'Audit Values'!$A$2:$AE$439,2,FALSE)),'Preliminary SO66'!B68,VLOOKUP($CZ71,'Audit Values'!$A$2:$AE$439,31,FALSE))</f>
        <v>45888.3</v>
      </c>
      <c r="L71" s="1">
        <f t="shared" si="144"/>
        <v>45888.3</v>
      </c>
      <c r="M71" s="1">
        <f>IF(ISNA(VLOOKUP($CZ71,'Audit Values'!$A$2:$AE$439,2,FALSE)),'Preliminary SO66'!Z68,VLOOKUP($CZ71,'Audit Values'!$A$2:$AE$439,26,FALSE))</f>
        <v>0</v>
      </c>
      <c r="N71" s="1">
        <f t="shared" si="145"/>
        <v>45888.3</v>
      </c>
      <c r="O71" s="1">
        <f>IF(ISNA(VLOOKUP($CZ71,'Audit Values'!$A$2:$AE$439,2,FALSE)),'Preliminary SO66'!C68,IF(VLOOKUP($CZ71,'Audit Values'!$A$2:$AE$439,28,FALSE)="",VLOOKUP($CZ71,'Audit Values'!$A$2:$AE$439,3,FALSE),VLOOKUP($CZ71,'Audit Values'!$A$2:$AE$439,28,FALSE)))</f>
        <v>956</v>
      </c>
      <c r="P71" s="109">
        <f t="shared" si="146"/>
        <v>46844.3</v>
      </c>
      <c r="Q71" s="110">
        <f t="shared" si="147"/>
        <v>47038.3</v>
      </c>
      <c r="R71" s="111">
        <f t="shared" si="148"/>
        <v>47038.3</v>
      </c>
      <c r="S71" s="1">
        <f t="shared" si="149"/>
        <v>46844.3</v>
      </c>
      <c r="T71" s="1">
        <f t="shared" si="133"/>
        <v>194</v>
      </c>
      <c r="U71" s="1">
        <f t="shared" si="150"/>
        <v>1641.4</v>
      </c>
      <c r="V71" s="1">
        <f t="shared" si="88"/>
        <v>0</v>
      </c>
      <c r="W71" s="1">
        <f t="shared" si="89"/>
        <v>1641.4</v>
      </c>
      <c r="X71" s="1">
        <f>IF(ISNA(VLOOKUP($CZ71,'Audit Values'!$A$2:$AE$439,2,FALSE)),'Preliminary SO66'!D68,VLOOKUP($CZ71,'Audit Values'!$A$2:$AE$439,4,FALSE))</f>
        <v>9513.7000000000007</v>
      </c>
      <c r="Y71" s="1">
        <f>ROUND((X71/6)*Weightings!$M$6,1)</f>
        <v>792.8</v>
      </c>
      <c r="Z71" s="1">
        <f>IF(ISNA(VLOOKUP($CZ71,'Audit Values'!$A$2:$AE$439,2,FALSE)),'Preliminary SO66'!F68,VLOOKUP($CZ71,'Audit Values'!$A$2:$AE$439,6,FALSE))</f>
        <v>35462.9</v>
      </c>
      <c r="AA71" s="1">
        <f>ROUND((Z71/6)*Weightings!$M$7,1)</f>
        <v>2334.6</v>
      </c>
      <c r="AB71" s="2">
        <f>IF(ISNA(VLOOKUP($CZ71,'Audit Values'!$A$2:$AE$439,2,FALSE)),'Preliminary SO66'!H68,VLOOKUP($CZ71,'Audit Values'!$A$2:$AE$439,8,FALSE))</f>
        <v>34402</v>
      </c>
      <c r="AC71" s="1">
        <f>ROUND(AB71*Weightings!$M$8,1)</f>
        <v>15687.3</v>
      </c>
      <c r="AD71" s="1">
        <f t="shared" si="169"/>
        <v>3612.2</v>
      </c>
      <c r="AE71" s="185">
        <v>2180</v>
      </c>
      <c r="AF71" s="1">
        <f>AE71*Weightings!$M$9</f>
        <v>101.4</v>
      </c>
      <c r="AG71" s="1">
        <f>IF(ISNA(VLOOKUP($CZ71,'Audit Values'!$A$2:$AE$439,2,FALSE)),'Preliminary SO66'!L68,VLOOKUP($CZ71,'Audit Values'!$A$2:$AE$439,12,FALSE))</f>
        <v>5511.5</v>
      </c>
      <c r="AH71" s="1">
        <f>ROUND(AG71*Weightings!$M$10,1)</f>
        <v>1377.9</v>
      </c>
      <c r="AI71" s="1">
        <f>IF(ISNA(VLOOKUP($CZ71,'Audit Values'!$A$2:$AE$439,2,FALSE)),'Preliminary SO66'!O68,VLOOKUP($CZ71,'Audit Values'!$A$2:$AE$439,15,FALSE))</f>
        <v>14383</v>
      </c>
      <c r="AJ71" s="1">
        <f t="shared" si="151"/>
        <v>2192</v>
      </c>
      <c r="AK71" s="1">
        <f>CC71/Weightings!$M$5</f>
        <v>0</v>
      </c>
      <c r="AL71" s="1">
        <f>CD71/Weightings!$M$5</f>
        <v>0</v>
      </c>
      <c r="AM71" s="1">
        <f>CH71/Weightings!$M$5</f>
        <v>0</v>
      </c>
      <c r="AN71" s="1">
        <f t="shared" si="118"/>
        <v>226</v>
      </c>
      <c r="AO71" s="1">
        <f>IF(ISNA(VLOOKUP($CZ71,'Audit Values'!$A$2:$AE$439,2,FALSE)),'Preliminary SO66'!X68,VLOOKUP($CZ71,'Audit Values'!$A$2:$AE$439,24,FALSE))</f>
        <v>0</v>
      </c>
      <c r="AP71" s="188">
        <v>42147885</v>
      </c>
      <c r="AQ71" s="113">
        <f>AP71/Weightings!$M$5</f>
        <v>10981.7</v>
      </c>
      <c r="AR71" s="113">
        <f t="shared" si="152"/>
        <v>74809.899999999994</v>
      </c>
      <c r="AS71" s="1">
        <f t="shared" si="153"/>
        <v>85791.6</v>
      </c>
      <c r="AT71" s="1">
        <f t="shared" si="154"/>
        <v>85791.6</v>
      </c>
      <c r="AU71" s="2">
        <f t="shared" si="170"/>
        <v>0</v>
      </c>
      <c r="AV71" s="82">
        <f>IF(ISNA(VLOOKUP($CZ71,'Audit Values'!$A$2:$AC$360,2,FALSE)),"",IF(AND(Weightings!H71&gt;0,VLOOKUP($CZ71,'Audit Values'!$A$2:$AC$360,29,FALSE)&lt;Weightings!H71),Weightings!H71,VLOOKUP($CZ71,'Audit Values'!$A$2:$AC$360,29,FALSE)))</f>
        <v>26</v>
      </c>
      <c r="AW71" s="82" t="str">
        <f>IF(ISNA(VLOOKUP($CZ71,'Audit Values'!$A$2:$AD$360,2,FALSE)),"",VLOOKUP($CZ71,'Audit Values'!$A$2:$AD$360,30,FALSE))</f>
        <v>A</v>
      </c>
      <c r="AX71" s="82" t="str">
        <f>IF(Weightings!G71="","",IF(Weightings!I71="Pending","PX","R"))</f>
        <v>R</v>
      </c>
      <c r="AY71" s="114">
        <f>AR71*Weightings!$M$5+AU71</f>
        <v>287120396</v>
      </c>
      <c r="AZ71" s="2">
        <f>AT71*Weightings!$M$5+AU71</f>
        <v>329268161</v>
      </c>
      <c r="BA71" s="2">
        <f>IF(Weightings!G71&gt;0,Weightings!G71,'Preliminary SO66'!AB68)</f>
        <v>329428205</v>
      </c>
      <c r="BB71" s="2">
        <f t="shared" si="155"/>
        <v>329268161</v>
      </c>
      <c r="BC71" s="124"/>
      <c r="BD71" s="124">
        <f>Weightings!E71</f>
        <v>-5749</v>
      </c>
      <c r="BE71" s="124">
        <f>Weightings!F71</f>
        <v>0</v>
      </c>
      <c r="BF71" s="2">
        <f t="shared" si="156"/>
        <v>-5749</v>
      </c>
      <c r="BG71" s="2">
        <f t="shared" si="157"/>
        <v>329262412</v>
      </c>
      <c r="BH71" s="2">
        <f>MAX(ROUND(((AR71-AO71)*4433)+AP71,0),ROUND(((AR71-AO71)*4433)+Weightings!B71,0))</f>
        <v>373780172</v>
      </c>
      <c r="BI71" s="174">
        <v>0.3</v>
      </c>
      <c r="BJ71" s="2">
        <f t="shared" si="134"/>
        <v>112134052</v>
      </c>
      <c r="BK71" s="173">
        <v>110870767</v>
      </c>
      <c r="BL71" s="2">
        <f t="shared" si="158"/>
        <v>110870767</v>
      </c>
      <c r="BM71" s="3">
        <f t="shared" si="171"/>
        <v>0.29659999999999997</v>
      </c>
      <c r="BN71" s="1">
        <f t="shared" si="159"/>
        <v>0</v>
      </c>
      <c r="BO71" s="4" t="b">
        <f t="shared" si="160"/>
        <v>0</v>
      </c>
      <c r="BP71" s="5">
        <f t="shared" si="161"/>
        <v>0</v>
      </c>
      <c r="BQ71" s="6">
        <f t="shared" si="140"/>
        <v>0</v>
      </c>
      <c r="BR71" s="4">
        <f t="shared" si="162"/>
        <v>0</v>
      </c>
      <c r="BS71" s="4" t="b">
        <f t="shared" si="163"/>
        <v>0</v>
      </c>
      <c r="BT71" s="4">
        <f t="shared" si="164"/>
        <v>0</v>
      </c>
      <c r="BU71" s="6">
        <f t="shared" si="141"/>
        <v>0</v>
      </c>
      <c r="BV71" s="1">
        <f t="shared" si="165"/>
        <v>0</v>
      </c>
      <c r="BW71" s="1">
        <f t="shared" si="166"/>
        <v>1641.4</v>
      </c>
      <c r="BX71" s="116">
        <v>151</v>
      </c>
      <c r="BY71" s="7">
        <f t="shared" si="172"/>
        <v>95.25</v>
      </c>
      <c r="BZ71" s="7">
        <f>IF(ROUND((Weightings!$P$5*BY71^Weightings!$P$6*Weightings!$P$8 ),2)&lt;Weightings!$P$7,Weightings!$P$7,ROUND((Weightings!$P$5*BY71^Weightings!$P$6*Weightings!$P$8 ),2))</f>
        <v>585</v>
      </c>
      <c r="CA71" s="8">
        <f>ROUND(BZ71/Weightings!$M$5,4)</f>
        <v>0.15240000000000001</v>
      </c>
      <c r="CB71" s="1">
        <f t="shared" si="173"/>
        <v>2192</v>
      </c>
      <c r="CC71" s="173">
        <v>0</v>
      </c>
      <c r="CD71" s="173">
        <v>0</v>
      </c>
      <c r="CE71" s="173">
        <v>0</v>
      </c>
      <c r="CF71" s="177">
        <v>0</v>
      </c>
      <c r="CG71" s="2">
        <f>AS71*Weightings!$M$5*CF71</f>
        <v>0</v>
      </c>
      <c r="CH71" s="2">
        <f t="shared" si="174"/>
        <v>0</v>
      </c>
      <c r="CI71" s="117">
        <f t="shared" si="167"/>
        <v>0.73399999999999999</v>
      </c>
      <c r="CJ71" s="4">
        <f t="shared" si="168"/>
        <v>310.2</v>
      </c>
      <c r="CK71" s="1">
        <f t="shared" si="175"/>
        <v>3612.2</v>
      </c>
      <c r="CL71" s="1">
        <f t="shared" si="176"/>
        <v>3612.2</v>
      </c>
      <c r="CM71" s="1">
        <f t="shared" si="177"/>
        <v>0</v>
      </c>
      <c r="CN71" s="1">
        <f>IF(ISNA(VLOOKUP($CZ71,'Audit Values'!$A$2:$AE$439,2,FALSE)),'Preliminary SO66'!T68,VLOOKUP($CZ71,'Audit Values'!$A$2:$AE$439,20,FALSE))</f>
        <v>194</v>
      </c>
      <c r="CO71" s="1">
        <f t="shared" si="127"/>
        <v>203.7</v>
      </c>
      <c r="CP71" s="181">
        <v>86</v>
      </c>
      <c r="CQ71" s="1">
        <f t="shared" si="128"/>
        <v>21.5</v>
      </c>
      <c r="CR71" s="2">
        <f>IF(ISNA(VLOOKUP($CZ71,'Audit Values'!$A$2:$AE$439,2,FALSE)),'Preliminary SO66'!V68,VLOOKUP($CZ71,'Audit Values'!$A$2:$AE$439,22,FALSE))</f>
        <v>8</v>
      </c>
      <c r="CS71" s="1">
        <f t="shared" si="129"/>
        <v>0.6</v>
      </c>
      <c r="CT71" s="2">
        <f>IF(ISNA(VLOOKUP($CZ71,'Audit Values'!$A$2:$AE$439,2,FALSE)),'Preliminary SO66'!W68,VLOOKUP($CZ71,'Audit Values'!$A$2:$AE$439,23,FALSE))</f>
        <v>3</v>
      </c>
      <c r="CU71" s="1">
        <f t="shared" si="138"/>
        <v>0.2</v>
      </c>
      <c r="CV71" s="1">
        <f t="shared" si="139"/>
        <v>226</v>
      </c>
      <c r="CW71" s="176">
        <v>0</v>
      </c>
      <c r="CX71" s="2">
        <f>IF(CW71&gt;0,Weightings!$M$11*AR71,0)</f>
        <v>0</v>
      </c>
      <c r="CY71" s="2">
        <f t="shared" si="178"/>
        <v>0</v>
      </c>
      <c r="CZ71" s="108" t="s">
        <v>363</v>
      </c>
    </row>
    <row r="72" spans="1:104">
      <c r="A72" s="82">
        <v>260</v>
      </c>
      <c r="B72" s="4" t="s">
        <v>35</v>
      </c>
      <c r="C72" s="4" t="s">
        <v>699</v>
      </c>
      <c r="D72" s="1">
        <v>6212.6</v>
      </c>
      <c r="E72" s="1">
        <v>48.8</v>
      </c>
      <c r="F72" s="1">
        <f t="shared" si="135"/>
        <v>6261.4</v>
      </c>
      <c r="G72" s="1">
        <v>6253.4</v>
      </c>
      <c r="H72" s="1">
        <v>43</v>
      </c>
      <c r="I72" s="1">
        <f t="shared" si="142"/>
        <v>6296.4</v>
      </c>
      <c r="J72" s="1">
        <f t="shared" si="143"/>
        <v>6354.8</v>
      </c>
      <c r="K72" s="1">
        <f>IF(ISNA(VLOOKUP($CZ72,'Audit Values'!$A$2:$AE$439,2,FALSE)),'Preliminary SO66'!B69,VLOOKUP($CZ72,'Audit Values'!$A$2:$AE$439,31,FALSE))</f>
        <v>6335.1</v>
      </c>
      <c r="L72" s="1">
        <f t="shared" si="144"/>
        <v>6335.1</v>
      </c>
      <c r="M72" s="1">
        <f>IF(ISNA(VLOOKUP($CZ72,'Audit Values'!$A$2:$AE$439,2,FALSE)),'Preliminary SO66'!Z69,VLOOKUP($CZ72,'Audit Values'!$A$2:$AE$439,26,FALSE))</f>
        <v>47</v>
      </c>
      <c r="N72" s="1">
        <f t="shared" si="145"/>
        <v>6382.1</v>
      </c>
      <c r="O72" s="1">
        <f>IF(ISNA(VLOOKUP($CZ72,'Audit Values'!$A$2:$AE$439,2,FALSE)),'Preliminary SO66'!C69,IF(VLOOKUP($CZ72,'Audit Values'!$A$2:$AE$439,28,FALSE)="",VLOOKUP($CZ72,'Audit Values'!$A$2:$AE$439,3,FALSE),VLOOKUP($CZ72,'Audit Values'!$A$2:$AE$439,28,FALSE)))</f>
        <v>24.5</v>
      </c>
      <c r="P72" s="109">
        <f t="shared" si="146"/>
        <v>6359.6</v>
      </c>
      <c r="Q72" s="110">
        <f t="shared" si="147"/>
        <v>6379.3</v>
      </c>
      <c r="R72" s="111">
        <f t="shared" si="148"/>
        <v>6426.3</v>
      </c>
      <c r="S72" s="1">
        <f t="shared" si="149"/>
        <v>6406.6</v>
      </c>
      <c r="T72" s="1">
        <f t="shared" si="133"/>
        <v>19.7</v>
      </c>
      <c r="U72" s="1">
        <f t="shared" si="150"/>
        <v>224.5</v>
      </c>
      <c r="V72" s="1">
        <f t="shared" ref="V72:V129" si="179">MAX(BN72,BR72,BV72)</f>
        <v>0</v>
      </c>
      <c r="W72" s="1">
        <f t="shared" ref="W72:W129" si="180">BW72</f>
        <v>224.5</v>
      </c>
      <c r="X72" s="1">
        <f>IF(ISNA(VLOOKUP($CZ72,'Audit Values'!$A$2:$AE$439,2,FALSE)),'Preliminary SO66'!D69,VLOOKUP($CZ72,'Audit Values'!$A$2:$AE$439,4,FALSE))</f>
        <v>1280.5999999999999</v>
      </c>
      <c r="Y72" s="1">
        <f>ROUND((X72/6)*Weightings!$M$6,1)</f>
        <v>106.7</v>
      </c>
      <c r="Z72" s="1">
        <f>IF(ISNA(VLOOKUP($CZ72,'Audit Values'!$A$2:$AE$439,2,FALSE)),'Preliminary SO66'!F69,VLOOKUP($CZ72,'Audit Values'!$A$2:$AE$439,6,FALSE))</f>
        <v>1433.6</v>
      </c>
      <c r="AA72" s="1">
        <f>ROUND((Z72/6)*Weightings!$M$7,1)</f>
        <v>94.4</v>
      </c>
      <c r="AB72" s="2">
        <f>IF(ISNA(VLOOKUP($CZ72,'Audit Values'!$A$2:$AE$439,2,FALSE)),'Preliminary SO66'!H69,VLOOKUP($CZ72,'Audit Values'!$A$2:$AE$439,8,FALSE))</f>
        <v>2497</v>
      </c>
      <c r="AC72" s="1">
        <f>ROUND(AB72*Weightings!$M$8,1)</f>
        <v>1138.5999999999999</v>
      </c>
      <c r="AD72" s="1">
        <f t="shared" si="169"/>
        <v>69.900000000000006</v>
      </c>
      <c r="AE72" s="185">
        <v>385</v>
      </c>
      <c r="AF72" s="1">
        <f>AE72*Weightings!$M$9</f>
        <v>17.899999999999999</v>
      </c>
      <c r="AG72" s="1">
        <f>IF(ISNA(VLOOKUP($CZ72,'Audit Values'!$A$2:$AE$439,2,FALSE)),'Preliminary SO66'!L69,VLOOKUP($CZ72,'Audit Values'!$A$2:$AE$439,12,FALSE))</f>
        <v>0</v>
      </c>
      <c r="AH72" s="1">
        <f>ROUND(AG72*Weightings!$M$10,1)</f>
        <v>0</v>
      </c>
      <c r="AI72" s="1">
        <f>IF(ISNA(VLOOKUP($CZ72,'Audit Values'!$A$2:$AE$439,2,FALSE)),'Preliminary SO66'!O69,VLOOKUP($CZ72,'Audit Values'!$A$2:$AE$439,15,FALSE))</f>
        <v>1508</v>
      </c>
      <c r="AJ72" s="1">
        <f t="shared" si="151"/>
        <v>229.8</v>
      </c>
      <c r="AK72" s="1">
        <f>CC72/Weightings!$M$5</f>
        <v>0</v>
      </c>
      <c r="AL72" s="1">
        <f>CD72/Weightings!$M$5</f>
        <v>0</v>
      </c>
      <c r="AM72" s="1">
        <f>CH72/Weightings!$M$5</f>
        <v>0</v>
      </c>
      <c r="AN72" s="1">
        <f t="shared" ref="AN72:AN132" si="181">CV72</f>
        <v>20.7</v>
      </c>
      <c r="AO72" s="1">
        <f>IF(ISNA(VLOOKUP($CZ72,'Audit Values'!$A$2:$AE$439,2,FALSE)),'Preliminary SO66'!X69,VLOOKUP($CZ72,'Audit Values'!$A$2:$AE$439,24,FALSE))</f>
        <v>1</v>
      </c>
      <c r="AP72" s="188">
        <v>4877371</v>
      </c>
      <c r="AQ72" s="113">
        <f>AP72/Weightings!$M$5</f>
        <v>1270.8</v>
      </c>
      <c r="AR72" s="113">
        <f t="shared" si="152"/>
        <v>8310.1</v>
      </c>
      <c r="AS72" s="1">
        <f t="shared" si="153"/>
        <v>9580.9</v>
      </c>
      <c r="AT72" s="1">
        <f t="shared" si="154"/>
        <v>9580.9</v>
      </c>
      <c r="AU72" s="2">
        <f t="shared" si="170"/>
        <v>0</v>
      </c>
      <c r="AV72" s="142">
        <f>IF(ISNA(VLOOKUP($CZ72,'Audit Values'!$A$2:$AC$360,2,FALSE)),"",IF(AND(Weightings!H72&gt;0,VLOOKUP($CZ72,'Audit Values'!$A$2:$AC$360,29,FALSE)&lt;Weightings!H72),Weightings!H72,VLOOKUP($CZ72,'Audit Values'!$A$2:$AC$360,29,FALSE)))</f>
        <v>21</v>
      </c>
      <c r="AW72" s="142" t="str">
        <f>IF(ISNA(VLOOKUP($CZ72,'Audit Values'!$A$2:$AD$360,2,FALSE)),"",VLOOKUP($CZ72,'Audit Values'!$A$2:$AD$360,30,FALSE))</f>
        <v>AM</v>
      </c>
      <c r="AX72" s="159" t="str">
        <f>IF(Weightings!G72="","",IF(Weightings!I72="Pending","PX","R"))</f>
        <v/>
      </c>
      <c r="AY72" s="114">
        <f>AR72*Weightings!$M$5+AU72</f>
        <v>31894164</v>
      </c>
      <c r="AZ72" s="2">
        <f>AT72*Weightings!$M$5+AU72</f>
        <v>36771494</v>
      </c>
      <c r="BA72" s="2">
        <f>IF(Weightings!G72&gt;0,Weightings!G72,'Preliminary SO66'!AB69)</f>
        <v>36899683</v>
      </c>
      <c r="BB72" s="2">
        <f t="shared" si="155"/>
        <v>36771494</v>
      </c>
      <c r="BC72" s="124"/>
      <c r="BD72" s="124">
        <f>Weightings!E72</f>
        <v>-1150</v>
      </c>
      <c r="BE72" s="124">
        <f>Weightings!F72</f>
        <v>0</v>
      </c>
      <c r="BF72" s="2">
        <f t="shared" si="156"/>
        <v>-1150</v>
      </c>
      <c r="BG72" s="2">
        <f t="shared" si="157"/>
        <v>36770344</v>
      </c>
      <c r="BH72" s="2">
        <f>MAX(ROUND(((AR72-AO72)*4433)+AP72,0),ROUND(((AR72-AO72)*4433)+Weightings!B72,0))</f>
        <v>41926509</v>
      </c>
      <c r="BI72" s="174">
        <v>0.3</v>
      </c>
      <c r="BJ72" s="2">
        <f t="shared" si="134"/>
        <v>12577953</v>
      </c>
      <c r="BK72" s="173">
        <v>12619579</v>
      </c>
      <c r="BL72" s="2">
        <f t="shared" si="158"/>
        <v>12577953</v>
      </c>
      <c r="BM72" s="3">
        <f t="shared" si="171"/>
        <v>0.3</v>
      </c>
      <c r="BN72" s="1">
        <f t="shared" si="159"/>
        <v>0</v>
      </c>
      <c r="BO72" s="4" t="b">
        <f t="shared" si="160"/>
        <v>0</v>
      </c>
      <c r="BP72" s="5">
        <f t="shared" si="161"/>
        <v>0</v>
      </c>
      <c r="BQ72" s="6">
        <f t="shared" si="140"/>
        <v>0</v>
      </c>
      <c r="BR72" s="4">
        <f t="shared" si="162"/>
        <v>0</v>
      </c>
      <c r="BS72" s="4" t="b">
        <f t="shared" si="163"/>
        <v>0</v>
      </c>
      <c r="BT72" s="4">
        <f t="shared" si="164"/>
        <v>0</v>
      </c>
      <c r="BU72" s="6">
        <f t="shared" si="141"/>
        <v>0</v>
      </c>
      <c r="BV72" s="1">
        <f t="shared" si="165"/>
        <v>0</v>
      </c>
      <c r="BW72" s="1">
        <f t="shared" si="166"/>
        <v>224.5</v>
      </c>
      <c r="BX72" s="116">
        <v>50</v>
      </c>
      <c r="BY72" s="7">
        <f t="shared" si="172"/>
        <v>30.16</v>
      </c>
      <c r="BZ72" s="7">
        <f>IF(ROUND((Weightings!$P$5*BY72^Weightings!$P$6*Weightings!$P$8 ),2)&lt;Weightings!$P$7,Weightings!$P$7,ROUND((Weightings!$P$5*BY72^Weightings!$P$6*Weightings!$P$8 ),2))</f>
        <v>585</v>
      </c>
      <c r="CA72" s="8">
        <f>ROUND(BZ72/Weightings!$M$5,4)</f>
        <v>0.15240000000000001</v>
      </c>
      <c r="CB72" s="1">
        <f t="shared" si="173"/>
        <v>229.8</v>
      </c>
      <c r="CC72" s="173">
        <v>0</v>
      </c>
      <c r="CD72" s="173">
        <v>0</v>
      </c>
      <c r="CE72" s="173">
        <v>0</v>
      </c>
      <c r="CF72" s="177">
        <v>0</v>
      </c>
      <c r="CG72" s="2">
        <f>AS72*Weightings!$M$5*CF72</f>
        <v>0</v>
      </c>
      <c r="CH72" s="2">
        <f t="shared" si="174"/>
        <v>0</v>
      </c>
      <c r="CI72" s="117">
        <f t="shared" si="167"/>
        <v>0.39</v>
      </c>
      <c r="CJ72" s="4">
        <f t="shared" si="168"/>
        <v>128.1</v>
      </c>
      <c r="CK72" s="1">
        <f t="shared" si="175"/>
        <v>0</v>
      </c>
      <c r="CL72" s="1">
        <f t="shared" si="176"/>
        <v>0</v>
      </c>
      <c r="CM72" s="1">
        <f t="shared" si="177"/>
        <v>69.900000000000006</v>
      </c>
      <c r="CN72" s="1">
        <f>IF(ISNA(VLOOKUP($CZ72,'Audit Values'!$A$2:$AE$439,2,FALSE)),'Preliminary SO66'!T69,VLOOKUP($CZ72,'Audit Values'!$A$2:$AE$439,20,FALSE))</f>
        <v>19.7</v>
      </c>
      <c r="CO72" s="1">
        <f t="shared" ref="CO72:CO132" si="182">CN72*1.05</f>
        <v>20.7</v>
      </c>
      <c r="CP72" s="183">
        <v>0</v>
      </c>
      <c r="CQ72" s="1">
        <f t="shared" ref="CQ72:CQ132" si="183">CP72*0.25</f>
        <v>0</v>
      </c>
      <c r="CR72" s="2">
        <f>IF(ISNA(VLOOKUP($CZ72,'Audit Values'!$A$2:$AE$439,2,FALSE)),'Preliminary SO66'!V69,VLOOKUP($CZ72,'Audit Values'!$A$2:$AE$439,22,FALSE))</f>
        <v>0</v>
      </c>
      <c r="CS72" s="1">
        <f t="shared" ref="CS72:CS132" si="184">CR72*0.08</f>
        <v>0</v>
      </c>
      <c r="CT72" s="2">
        <f>IF(ISNA(VLOOKUP($CZ72,'Audit Values'!$A$2:$AE$439,2,FALSE)),'Preliminary SO66'!W69,VLOOKUP($CZ72,'Audit Values'!$A$2:$AE$439,23,FALSE))</f>
        <v>0</v>
      </c>
      <c r="CU72" s="1">
        <f t="shared" si="138"/>
        <v>0</v>
      </c>
      <c r="CV72" s="1">
        <f t="shared" si="139"/>
        <v>20.7</v>
      </c>
      <c r="CW72" s="176">
        <v>0</v>
      </c>
      <c r="CX72" s="2">
        <f>IF(CW72&gt;0,Weightings!$M$11*AR72,0)</f>
        <v>0</v>
      </c>
      <c r="CY72" s="2">
        <f t="shared" si="178"/>
        <v>0</v>
      </c>
      <c r="CZ72" s="108" t="s">
        <v>364</v>
      </c>
    </row>
    <row r="73" spans="1:104">
      <c r="A73" s="82">
        <v>261</v>
      </c>
      <c r="B73" s="4" t="s">
        <v>35</v>
      </c>
      <c r="C73" s="4" t="s">
        <v>700</v>
      </c>
      <c r="D73" s="1">
        <v>4886.6000000000004</v>
      </c>
      <c r="E73" s="1">
        <v>0</v>
      </c>
      <c r="F73" s="1">
        <f t="shared" si="135"/>
        <v>4886.6000000000004</v>
      </c>
      <c r="G73" s="1">
        <v>4996.6000000000004</v>
      </c>
      <c r="H73" s="1">
        <v>0</v>
      </c>
      <c r="I73" s="1">
        <f t="shared" si="142"/>
        <v>4996.6000000000004</v>
      </c>
      <c r="J73" s="1">
        <f t="shared" si="143"/>
        <v>5013.5</v>
      </c>
      <c r="K73" s="1">
        <f>IF(ISNA(VLOOKUP($CZ73,'Audit Values'!$A$2:$AE$439,2,FALSE)),'Preliminary SO66'!B70,VLOOKUP($CZ73,'Audit Values'!$A$2:$AE$439,31,FALSE))</f>
        <v>5013.5</v>
      </c>
      <c r="L73" s="1">
        <f t="shared" si="144"/>
        <v>5013.5</v>
      </c>
      <c r="M73" s="1">
        <f>IF(ISNA(VLOOKUP($CZ73,'Audit Values'!$A$2:$AE$439,2,FALSE)),'Preliminary SO66'!Z70,VLOOKUP($CZ73,'Audit Values'!$A$2:$AE$439,26,FALSE))</f>
        <v>0</v>
      </c>
      <c r="N73" s="1">
        <f t="shared" si="145"/>
        <v>5013.5</v>
      </c>
      <c r="O73" s="1">
        <f>IF(ISNA(VLOOKUP($CZ73,'Audit Values'!$A$2:$AE$439,2,FALSE)),'Preliminary SO66'!C70,IF(VLOOKUP($CZ73,'Audit Values'!$A$2:$AE$439,28,FALSE)="",VLOOKUP($CZ73,'Audit Values'!$A$2:$AE$439,3,FALSE),VLOOKUP($CZ73,'Audit Values'!$A$2:$AE$439,28,FALSE)))</f>
        <v>74.5</v>
      </c>
      <c r="P73" s="109">
        <f t="shared" si="146"/>
        <v>5088</v>
      </c>
      <c r="Q73" s="110">
        <f t="shared" si="147"/>
        <v>5088</v>
      </c>
      <c r="R73" s="111">
        <f t="shared" si="148"/>
        <v>5088</v>
      </c>
      <c r="S73" s="1">
        <f t="shared" si="149"/>
        <v>5088</v>
      </c>
      <c r="T73" s="1">
        <f t="shared" si="133"/>
        <v>0</v>
      </c>
      <c r="U73" s="1">
        <f t="shared" si="150"/>
        <v>178.3</v>
      </c>
      <c r="V73" s="1">
        <f t="shared" si="179"/>
        <v>0</v>
      </c>
      <c r="W73" s="1">
        <f t="shared" si="180"/>
        <v>178.3</v>
      </c>
      <c r="X73" s="1">
        <f>IF(ISNA(VLOOKUP($CZ73,'Audit Values'!$A$2:$AE$439,2,FALSE)),'Preliminary SO66'!D70,VLOOKUP($CZ73,'Audit Values'!$A$2:$AE$439,4,FALSE))</f>
        <v>829.3</v>
      </c>
      <c r="Y73" s="1">
        <f>ROUND((X73/6)*Weightings!$M$6,1)</f>
        <v>69.099999999999994</v>
      </c>
      <c r="Z73" s="1">
        <f>IF(ISNA(VLOOKUP($CZ73,'Audit Values'!$A$2:$AE$439,2,FALSE)),'Preliminary SO66'!F70,VLOOKUP($CZ73,'Audit Values'!$A$2:$AE$439,6,FALSE))</f>
        <v>254.5</v>
      </c>
      <c r="AA73" s="1">
        <f>ROUND((Z73/6)*Weightings!$M$7,1)</f>
        <v>16.8</v>
      </c>
      <c r="AB73" s="2">
        <f>IF(ISNA(VLOOKUP($CZ73,'Audit Values'!$A$2:$AE$439,2,FALSE)),'Preliminary SO66'!H70,VLOOKUP($CZ73,'Audit Values'!$A$2:$AE$439,8,FALSE))</f>
        <v>2499</v>
      </c>
      <c r="AC73" s="1">
        <f>ROUND(AB73*Weightings!$M$8,1)</f>
        <v>1139.5</v>
      </c>
      <c r="AD73" s="1">
        <f t="shared" si="169"/>
        <v>246.7</v>
      </c>
      <c r="AE73" s="185">
        <v>238</v>
      </c>
      <c r="AF73" s="1">
        <f>AE73*Weightings!$M$9</f>
        <v>11.1</v>
      </c>
      <c r="AG73" s="1">
        <f>IF(ISNA(VLOOKUP($CZ73,'Audit Values'!$A$2:$AE$439,2,FALSE)),'Preliminary SO66'!L70,VLOOKUP($CZ73,'Audit Values'!$A$2:$AE$439,12,FALSE))</f>
        <v>0</v>
      </c>
      <c r="AH73" s="1">
        <f>ROUND(AG73*Weightings!$M$10,1)</f>
        <v>0</v>
      </c>
      <c r="AI73" s="1">
        <f>IF(ISNA(VLOOKUP($CZ73,'Audit Values'!$A$2:$AE$439,2,FALSE)),'Preliminary SO66'!O70,VLOOKUP($CZ73,'Audit Values'!$A$2:$AE$439,15,FALSE))</f>
        <v>1762</v>
      </c>
      <c r="AJ73" s="1">
        <f t="shared" si="151"/>
        <v>268.5</v>
      </c>
      <c r="AK73" s="1">
        <f>CC73/Weightings!$M$5</f>
        <v>0</v>
      </c>
      <c r="AL73" s="1">
        <f>CD73/Weightings!$M$5</f>
        <v>0</v>
      </c>
      <c r="AM73" s="1">
        <f>CH73/Weightings!$M$5</f>
        <v>0</v>
      </c>
      <c r="AN73" s="1">
        <f t="shared" si="181"/>
        <v>0</v>
      </c>
      <c r="AO73" s="1">
        <f>IF(ISNA(VLOOKUP($CZ73,'Audit Values'!$A$2:$AE$439,2,FALSE)),'Preliminary SO66'!X70,VLOOKUP($CZ73,'Audit Values'!$A$2:$AE$439,24,FALSE))</f>
        <v>0</v>
      </c>
      <c r="AP73" s="188">
        <v>4595727</v>
      </c>
      <c r="AQ73" s="113">
        <f>AP73/Weightings!$M$5</f>
        <v>1197.4000000000001</v>
      </c>
      <c r="AR73" s="113">
        <f t="shared" si="152"/>
        <v>7018</v>
      </c>
      <c r="AS73" s="1">
        <f t="shared" si="153"/>
        <v>8215.4</v>
      </c>
      <c r="AT73" s="1">
        <f t="shared" si="154"/>
        <v>8215.4</v>
      </c>
      <c r="AU73" s="2">
        <f t="shared" si="170"/>
        <v>0</v>
      </c>
      <c r="AV73" s="82">
        <f>IF(ISNA(VLOOKUP($CZ73,'Audit Values'!$A$2:$AC$360,2,FALSE)),"",IF(AND(Weightings!H73&gt;0,VLOOKUP($CZ73,'Audit Values'!$A$2:$AC$360,29,FALSE)&lt;Weightings!H73),Weightings!H73,VLOOKUP($CZ73,'Audit Values'!$A$2:$AC$360,29,FALSE)))</f>
        <v>15</v>
      </c>
      <c r="AW73" s="82" t="str">
        <f>IF(ISNA(VLOOKUP($CZ73,'Audit Values'!$A$2:$AD$360,2,FALSE)),"",VLOOKUP($CZ73,'Audit Values'!$A$2:$AD$360,30,FALSE))</f>
        <v>A</v>
      </c>
      <c r="AX73" s="82" t="str">
        <f>IF(Weightings!G73="","",IF(Weightings!I73="Pending","PX","R"))</f>
        <v/>
      </c>
      <c r="AY73" s="114">
        <f>AR73*Weightings!$M$5+AU73</f>
        <v>26935084</v>
      </c>
      <c r="AZ73" s="2">
        <f>AT73*Weightings!$M$5+AU73</f>
        <v>31530705</v>
      </c>
      <c r="BA73" s="2">
        <f>IF(Weightings!G73&gt;0,Weightings!G73,'Preliminary SO66'!AB70)</f>
        <v>31705718</v>
      </c>
      <c r="BB73" s="2">
        <f t="shared" si="155"/>
        <v>31530705</v>
      </c>
      <c r="BC73" s="124"/>
      <c r="BD73" s="124">
        <f>Weightings!E73</f>
        <v>0</v>
      </c>
      <c r="BE73" s="124">
        <f>Weightings!F73</f>
        <v>0</v>
      </c>
      <c r="BF73" s="2">
        <f t="shared" si="156"/>
        <v>0</v>
      </c>
      <c r="BG73" s="2">
        <f t="shared" si="157"/>
        <v>31530705</v>
      </c>
      <c r="BH73" s="2">
        <f>MAX(ROUND(((AR73-AO73)*4433)+AP73,0),ROUND(((AR73-AO73)*4433)+Weightings!B73,0))</f>
        <v>35706521</v>
      </c>
      <c r="BI73" s="174">
        <v>0.3</v>
      </c>
      <c r="BJ73" s="2">
        <f t="shared" si="134"/>
        <v>10711956</v>
      </c>
      <c r="BK73" s="173">
        <v>10772930</v>
      </c>
      <c r="BL73" s="2">
        <f t="shared" si="158"/>
        <v>10711956</v>
      </c>
      <c r="BM73" s="3">
        <f t="shared" si="171"/>
        <v>0.3</v>
      </c>
      <c r="BN73" s="1">
        <f t="shared" si="159"/>
        <v>0</v>
      </c>
      <c r="BO73" s="4" t="b">
        <f t="shared" si="160"/>
        <v>0</v>
      </c>
      <c r="BP73" s="5">
        <f t="shared" si="161"/>
        <v>0</v>
      </c>
      <c r="BQ73" s="6">
        <f t="shared" si="140"/>
        <v>0</v>
      </c>
      <c r="BR73" s="4">
        <f t="shared" si="162"/>
        <v>0</v>
      </c>
      <c r="BS73" s="4" t="b">
        <f t="shared" si="163"/>
        <v>0</v>
      </c>
      <c r="BT73" s="4">
        <f t="shared" si="164"/>
        <v>0</v>
      </c>
      <c r="BU73" s="6">
        <f t="shared" si="141"/>
        <v>0</v>
      </c>
      <c r="BV73" s="1">
        <f t="shared" si="165"/>
        <v>0</v>
      </c>
      <c r="BW73" s="1">
        <f t="shared" si="166"/>
        <v>178.3</v>
      </c>
      <c r="BX73" s="116">
        <v>36</v>
      </c>
      <c r="BY73" s="7">
        <f t="shared" si="172"/>
        <v>48.94</v>
      </c>
      <c r="BZ73" s="7">
        <f>IF(ROUND((Weightings!$P$5*BY73^Weightings!$P$6*Weightings!$P$8 ),2)&lt;Weightings!$P$7,Weightings!$P$7,ROUND((Weightings!$P$5*BY73^Weightings!$P$6*Weightings!$P$8 ),2))</f>
        <v>585</v>
      </c>
      <c r="CA73" s="8">
        <f>ROUND(BZ73/Weightings!$M$5,4)</f>
        <v>0.15240000000000001</v>
      </c>
      <c r="CB73" s="1">
        <f t="shared" si="173"/>
        <v>268.5</v>
      </c>
      <c r="CC73" s="173">
        <v>0</v>
      </c>
      <c r="CD73" s="173">
        <v>0</v>
      </c>
      <c r="CE73" s="173">
        <v>0</v>
      </c>
      <c r="CF73" s="177">
        <v>0</v>
      </c>
      <c r="CG73" s="2">
        <f>AS73*Weightings!$M$5*CF73</f>
        <v>0</v>
      </c>
      <c r="CH73" s="2">
        <f t="shared" si="174"/>
        <v>0</v>
      </c>
      <c r="CI73" s="117">
        <f t="shared" si="167"/>
        <v>0.49099999999999999</v>
      </c>
      <c r="CJ73" s="4">
        <f t="shared" si="168"/>
        <v>141.30000000000001</v>
      </c>
      <c r="CK73" s="1">
        <f t="shared" si="175"/>
        <v>0</v>
      </c>
      <c r="CL73" s="1">
        <f t="shared" si="176"/>
        <v>0</v>
      </c>
      <c r="CM73" s="1">
        <f t="shared" si="177"/>
        <v>246.7</v>
      </c>
      <c r="CN73" s="1">
        <f>IF(ISNA(VLOOKUP($CZ73,'Audit Values'!$A$2:$AE$439,2,FALSE)),'Preliminary SO66'!T70,VLOOKUP($CZ73,'Audit Values'!$A$2:$AE$439,20,FALSE))</f>
        <v>0</v>
      </c>
      <c r="CO73" s="1">
        <f t="shared" si="182"/>
        <v>0</v>
      </c>
      <c r="CP73" s="183">
        <v>0</v>
      </c>
      <c r="CQ73" s="1">
        <f t="shared" si="183"/>
        <v>0</v>
      </c>
      <c r="CR73" s="2">
        <f>IF(ISNA(VLOOKUP($CZ73,'Audit Values'!$A$2:$AE$439,2,FALSE)),'Preliminary SO66'!V70,VLOOKUP($CZ73,'Audit Values'!$A$2:$AE$439,22,FALSE))</f>
        <v>0</v>
      </c>
      <c r="CS73" s="1">
        <f t="shared" si="184"/>
        <v>0</v>
      </c>
      <c r="CT73" s="2">
        <f>IF(ISNA(VLOOKUP($CZ73,'Audit Values'!$A$2:$AE$439,2,FALSE)),'Preliminary SO66'!W70,VLOOKUP($CZ73,'Audit Values'!$A$2:$AE$439,23,FALSE))</f>
        <v>0</v>
      </c>
      <c r="CU73" s="1">
        <f t="shared" si="138"/>
        <v>0</v>
      </c>
      <c r="CV73" s="1">
        <f t="shared" si="139"/>
        <v>0</v>
      </c>
      <c r="CW73" s="176">
        <v>0</v>
      </c>
      <c r="CX73" s="2">
        <f>IF(CW73&gt;0,Weightings!$M$11*AR73,0)</f>
        <v>0</v>
      </c>
      <c r="CY73" s="2">
        <f t="shared" si="178"/>
        <v>0</v>
      </c>
      <c r="CZ73" s="108" t="s">
        <v>365</v>
      </c>
    </row>
    <row r="74" spans="1:104">
      <c r="A74" s="82">
        <v>262</v>
      </c>
      <c r="B74" s="4" t="s">
        <v>35</v>
      </c>
      <c r="C74" s="4" t="s">
        <v>701</v>
      </c>
      <c r="D74" s="1">
        <v>2496.3000000000002</v>
      </c>
      <c r="E74" s="1">
        <v>0</v>
      </c>
      <c r="F74" s="1">
        <f t="shared" si="135"/>
        <v>2496.3000000000002</v>
      </c>
      <c r="G74" s="1">
        <v>2536.9</v>
      </c>
      <c r="H74" s="1">
        <v>0</v>
      </c>
      <c r="I74" s="1">
        <f t="shared" si="142"/>
        <v>2536.9</v>
      </c>
      <c r="J74" s="1">
        <f t="shared" si="143"/>
        <v>2636</v>
      </c>
      <c r="K74" s="1">
        <f>IF(ISNA(VLOOKUP($CZ74,'Audit Values'!$A$2:$AE$439,2,FALSE)),'Preliminary SO66'!B71,VLOOKUP($CZ74,'Audit Values'!$A$2:$AE$439,31,FALSE))</f>
        <v>2584.5</v>
      </c>
      <c r="L74" s="1">
        <f t="shared" si="144"/>
        <v>2584.5</v>
      </c>
      <c r="M74" s="1">
        <f>IF(ISNA(VLOOKUP($CZ74,'Audit Values'!$A$2:$AE$439,2,FALSE)),'Preliminary SO66'!Z71,VLOOKUP($CZ74,'Audit Values'!$A$2:$AE$439,26,FALSE))</f>
        <v>0</v>
      </c>
      <c r="N74" s="1">
        <f t="shared" si="145"/>
        <v>2584.5</v>
      </c>
      <c r="O74" s="1">
        <f>IF(ISNA(VLOOKUP($CZ74,'Audit Values'!$A$2:$AE$439,2,FALSE)),'Preliminary SO66'!C71,IF(VLOOKUP($CZ74,'Audit Values'!$A$2:$AE$439,28,FALSE)="",VLOOKUP($CZ74,'Audit Values'!$A$2:$AE$439,3,FALSE),VLOOKUP($CZ74,'Audit Values'!$A$2:$AE$439,28,FALSE)))</f>
        <v>15.5</v>
      </c>
      <c r="P74" s="109">
        <f t="shared" si="146"/>
        <v>2600</v>
      </c>
      <c r="Q74" s="110">
        <f t="shared" si="147"/>
        <v>2651.5</v>
      </c>
      <c r="R74" s="111">
        <f t="shared" si="148"/>
        <v>2651.5</v>
      </c>
      <c r="S74" s="1">
        <f t="shared" si="149"/>
        <v>2600</v>
      </c>
      <c r="T74" s="1">
        <f t="shared" si="133"/>
        <v>51.5</v>
      </c>
      <c r="U74" s="1">
        <f t="shared" si="150"/>
        <v>91.1</v>
      </c>
      <c r="V74" s="1">
        <f t="shared" si="179"/>
        <v>0</v>
      </c>
      <c r="W74" s="1">
        <f t="shared" si="180"/>
        <v>91.1</v>
      </c>
      <c r="X74" s="1">
        <f>IF(ISNA(VLOOKUP($CZ74,'Audit Values'!$A$2:$AE$439,2,FALSE)),'Preliminary SO66'!D71,VLOOKUP($CZ74,'Audit Values'!$A$2:$AE$439,4,FALSE))</f>
        <v>770.2</v>
      </c>
      <c r="Y74" s="1">
        <f>ROUND((X74/6)*Weightings!$M$6,1)</f>
        <v>64.2</v>
      </c>
      <c r="Z74" s="1">
        <f>IF(ISNA(VLOOKUP($CZ74,'Audit Values'!$A$2:$AE$439,2,FALSE)),'Preliminary SO66'!F71,VLOOKUP($CZ74,'Audit Values'!$A$2:$AE$439,6,FALSE))</f>
        <v>209.9</v>
      </c>
      <c r="AA74" s="1">
        <f>ROUND((Z74/6)*Weightings!$M$7,1)</f>
        <v>13.8</v>
      </c>
      <c r="AB74" s="2">
        <f>IF(ISNA(VLOOKUP($CZ74,'Audit Values'!$A$2:$AE$439,2,FALSE)),'Preliminary SO66'!H71,VLOOKUP($CZ74,'Audit Values'!$A$2:$AE$439,8,FALSE))</f>
        <v>821</v>
      </c>
      <c r="AC74" s="1">
        <f>ROUND(AB74*Weightings!$M$8,1)</f>
        <v>374.4</v>
      </c>
      <c r="AD74" s="1">
        <f t="shared" si="169"/>
        <v>0</v>
      </c>
      <c r="AE74" s="185">
        <v>152</v>
      </c>
      <c r="AF74" s="1">
        <f>AE74*Weightings!$M$9</f>
        <v>7.1</v>
      </c>
      <c r="AG74" s="1">
        <f>IF(ISNA(VLOOKUP($CZ74,'Audit Values'!$A$2:$AE$439,2,FALSE)),'Preliminary SO66'!L71,VLOOKUP($CZ74,'Audit Values'!$A$2:$AE$439,12,FALSE))</f>
        <v>0</v>
      </c>
      <c r="AH74" s="1">
        <f>ROUND(AG74*Weightings!$M$10,1)</f>
        <v>0</v>
      </c>
      <c r="AI74" s="1">
        <f>IF(ISNA(VLOOKUP($CZ74,'Audit Values'!$A$2:$AE$439,2,FALSE)),'Preliminary SO66'!O71,VLOOKUP($CZ74,'Audit Values'!$A$2:$AE$439,15,FALSE))</f>
        <v>1356</v>
      </c>
      <c r="AJ74" s="1">
        <f t="shared" si="151"/>
        <v>206.7</v>
      </c>
      <c r="AK74" s="1">
        <f>CC74/Weightings!$M$5</f>
        <v>0</v>
      </c>
      <c r="AL74" s="1">
        <f>CD74/Weightings!$M$5</f>
        <v>0</v>
      </c>
      <c r="AM74" s="1">
        <f>CH74/Weightings!$M$5</f>
        <v>0</v>
      </c>
      <c r="AN74" s="1">
        <f t="shared" si="181"/>
        <v>54.1</v>
      </c>
      <c r="AO74" s="1">
        <f>IF(ISNA(VLOOKUP($CZ74,'Audit Values'!$A$2:$AE$439,2,FALSE)),'Preliminary SO66'!X71,VLOOKUP($CZ74,'Audit Values'!$A$2:$AE$439,24,FALSE))</f>
        <v>0</v>
      </c>
      <c r="AP74" s="188">
        <v>2403387</v>
      </c>
      <c r="AQ74" s="113">
        <f>AP74/Weightings!$M$5</f>
        <v>626.20000000000005</v>
      </c>
      <c r="AR74" s="113">
        <f t="shared" si="152"/>
        <v>3411.4</v>
      </c>
      <c r="AS74" s="1">
        <f t="shared" si="153"/>
        <v>4037.6</v>
      </c>
      <c r="AT74" s="1">
        <f t="shared" si="154"/>
        <v>4037.6</v>
      </c>
      <c r="AU74" s="2">
        <f t="shared" si="170"/>
        <v>90000</v>
      </c>
      <c r="AV74" s="82">
        <f>IF(ISNA(VLOOKUP($CZ74,'Audit Values'!$A$2:$AC$360,2,FALSE)),"",IF(AND(Weightings!H74&gt;0,VLOOKUP($CZ74,'Audit Values'!$A$2:$AC$360,29,FALSE)&lt;Weightings!H74),Weightings!H74,VLOOKUP($CZ74,'Audit Values'!$A$2:$AC$360,29,FALSE)))</f>
        <v>23</v>
      </c>
      <c r="AW74" s="82" t="str">
        <f>IF(ISNA(VLOOKUP($CZ74,'Audit Values'!$A$2:$AD$360,2,FALSE)),"",VLOOKUP($CZ74,'Audit Values'!$A$2:$AD$360,30,FALSE))</f>
        <v>A</v>
      </c>
      <c r="AX74" s="82" t="str">
        <f>IF(Weightings!G74="","",IF(Weightings!I74="Pending","PX","R"))</f>
        <v>R</v>
      </c>
      <c r="AY74" s="114">
        <f>AR74*Weightings!$M$5+AU74</f>
        <v>13182953</v>
      </c>
      <c r="AZ74" s="2">
        <f>AT74*Weightings!$M$5+AU74</f>
        <v>15586309</v>
      </c>
      <c r="BA74" s="2">
        <f>IF(Weightings!G74&gt;0,Weightings!G74,'Preliminary SO66'!AB71)</f>
        <v>15728699</v>
      </c>
      <c r="BB74" s="2">
        <f t="shared" si="155"/>
        <v>15586309</v>
      </c>
      <c r="BC74" s="124"/>
      <c r="BD74" s="124">
        <f>Weightings!E74</f>
        <v>-575</v>
      </c>
      <c r="BE74" s="124">
        <f>Weightings!F74</f>
        <v>0</v>
      </c>
      <c r="BF74" s="2">
        <f t="shared" si="156"/>
        <v>-575</v>
      </c>
      <c r="BG74" s="2">
        <f t="shared" si="157"/>
        <v>15585734</v>
      </c>
      <c r="BH74" s="2">
        <f>MAX(ROUND(((AR74-AO74)*4433)+AP74,0),ROUND(((AR74-AO74)*4433)+Weightings!B74,0))</f>
        <v>17526123</v>
      </c>
      <c r="BI74" s="174">
        <v>0.3</v>
      </c>
      <c r="BJ74" s="2">
        <f t="shared" si="134"/>
        <v>5257837</v>
      </c>
      <c r="BK74" s="173">
        <v>5171912</v>
      </c>
      <c r="BL74" s="2">
        <f t="shared" si="158"/>
        <v>5171912</v>
      </c>
      <c r="BM74" s="3">
        <f t="shared" si="171"/>
        <v>0.29509999999999997</v>
      </c>
      <c r="BN74" s="1">
        <f t="shared" si="159"/>
        <v>0</v>
      </c>
      <c r="BO74" s="4" t="b">
        <f t="shared" si="160"/>
        <v>0</v>
      </c>
      <c r="BP74" s="5">
        <f t="shared" si="161"/>
        <v>0</v>
      </c>
      <c r="BQ74" s="6">
        <f t="shared" si="140"/>
        <v>0</v>
      </c>
      <c r="BR74" s="4">
        <f t="shared" si="162"/>
        <v>0</v>
      </c>
      <c r="BS74" s="4" t="b">
        <f t="shared" si="163"/>
        <v>0</v>
      </c>
      <c r="BT74" s="4">
        <f t="shared" si="164"/>
        <v>0</v>
      </c>
      <c r="BU74" s="6">
        <f t="shared" si="141"/>
        <v>0</v>
      </c>
      <c r="BV74" s="1">
        <f t="shared" si="165"/>
        <v>0</v>
      </c>
      <c r="BW74" s="1">
        <f t="shared" si="166"/>
        <v>91.1</v>
      </c>
      <c r="BX74" s="116">
        <v>83</v>
      </c>
      <c r="BY74" s="7">
        <f t="shared" si="172"/>
        <v>16.34</v>
      </c>
      <c r="BZ74" s="7">
        <f>IF(ROUND((Weightings!$P$5*BY74^Weightings!$P$6*Weightings!$P$8 ),2)&lt;Weightings!$P$7,Weightings!$P$7,ROUND((Weightings!$P$5*BY74^Weightings!$P$6*Weightings!$P$8 ),2))</f>
        <v>585</v>
      </c>
      <c r="CA74" s="8">
        <f>ROUND(BZ74/Weightings!$M$5,4)</f>
        <v>0.15240000000000001</v>
      </c>
      <c r="CB74" s="1">
        <f t="shared" si="173"/>
        <v>206.7</v>
      </c>
      <c r="CC74" s="173">
        <v>0</v>
      </c>
      <c r="CD74" s="173">
        <v>0</v>
      </c>
      <c r="CE74" s="173">
        <v>0</v>
      </c>
      <c r="CF74" s="177">
        <v>0</v>
      </c>
      <c r="CG74" s="2">
        <f>AS74*Weightings!$M$5*CF74</f>
        <v>0</v>
      </c>
      <c r="CH74" s="2">
        <f t="shared" si="174"/>
        <v>0</v>
      </c>
      <c r="CI74" s="117">
        <f t="shared" si="167"/>
        <v>0.316</v>
      </c>
      <c r="CJ74" s="4">
        <f t="shared" si="168"/>
        <v>31.3</v>
      </c>
      <c r="CK74" s="1">
        <f t="shared" si="175"/>
        <v>0</v>
      </c>
      <c r="CL74" s="1">
        <f t="shared" si="176"/>
        <v>0</v>
      </c>
      <c r="CM74" s="1">
        <f t="shared" si="177"/>
        <v>0</v>
      </c>
      <c r="CN74" s="1">
        <f>IF(ISNA(VLOOKUP($CZ74,'Audit Values'!$A$2:$AE$439,2,FALSE)),'Preliminary SO66'!T71,VLOOKUP($CZ74,'Audit Values'!$A$2:$AE$439,20,FALSE))</f>
        <v>51.5</v>
      </c>
      <c r="CO74" s="1">
        <f t="shared" si="182"/>
        <v>54.1</v>
      </c>
      <c r="CP74" s="183">
        <v>0</v>
      </c>
      <c r="CQ74" s="1">
        <f t="shared" si="183"/>
        <v>0</v>
      </c>
      <c r="CR74" s="2">
        <f>IF(ISNA(VLOOKUP($CZ74,'Audit Values'!$A$2:$AE$439,2,FALSE)),'Preliminary SO66'!V71,VLOOKUP($CZ74,'Audit Values'!$A$2:$AE$439,22,FALSE))</f>
        <v>0</v>
      </c>
      <c r="CS74" s="1">
        <f t="shared" si="184"/>
        <v>0</v>
      </c>
      <c r="CT74" s="2">
        <f>IF(ISNA(VLOOKUP($CZ74,'Audit Values'!$A$2:$AE$439,2,FALSE)),'Preliminary SO66'!W71,VLOOKUP($CZ74,'Audit Values'!$A$2:$AE$439,23,FALSE))</f>
        <v>0</v>
      </c>
      <c r="CU74" s="1">
        <f t="shared" si="138"/>
        <v>0</v>
      </c>
      <c r="CV74" s="1">
        <f t="shared" si="139"/>
        <v>54.1</v>
      </c>
      <c r="CW74" s="176">
        <v>90000</v>
      </c>
      <c r="CX74" s="2">
        <f>IF(CW74&gt;0,Weightings!$M$11*AR74,0)</f>
        <v>852850</v>
      </c>
      <c r="CY74" s="2">
        <f t="shared" si="178"/>
        <v>90000</v>
      </c>
      <c r="CZ74" s="108" t="s">
        <v>366</v>
      </c>
    </row>
    <row r="75" spans="1:104">
      <c r="A75" s="82">
        <v>263</v>
      </c>
      <c r="B75" s="4" t="s">
        <v>35</v>
      </c>
      <c r="C75" s="4" t="s">
        <v>702</v>
      </c>
      <c r="D75" s="1">
        <v>1759</v>
      </c>
      <c r="E75" s="1">
        <v>0</v>
      </c>
      <c r="F75" s="1">
        <f t="shared" si="135"/>
        <v>1759</v>
      </c>
      <c r="G75" s="1">
        <v>1736.9</v>
      </c>
      <c r="H75" s="1">
        <v>0</v>
      </c>
      <c r="I75" s="1">
        <f t="shared" si="142"/>
        <v>1736.9</v>
      </c>
      <c r="J75" s="1">
        <f t="shared" si="143"/>
        <v>1741.6</v>
      </c>
      <c r="K75" s="1">
        <f>IF(ISNA(VLOOKUP($CZ75,'Audit Values'!$A$2:$AE$439,2,FALSE)),'Preliminary SO66'!B72,VLOOKUP($CZ75,'Audit Values'!$A$2:$AE$439,31,FALSE))</f>
        <v>1741.6</v>
      </c>
      <c r="L75" s="1">
        <f t="shared" si="144"/>
        <v>1745.8</v>
      </c>
      <c r="M75" s="1">
        <f>IF(ISNA(VLOOKUP($CZ75,'Audit Values'!$A$2:$AE$439,2,FALSE)),'Preliminary SO66'!Z72,VLOOKUP($CZ75,'Audit Values'!$A$2:$AE$439,26,FALSE))</f>
        <v>0</v>
      </c>
      <c r="N75" s="1">
        <f t="shared" si="145"/>
        <v>1745.8</v>
      </c>
      <c r="O75" s="1">
        <f>IF(ISNA(VLOOKUP($CZ75,'Audit Values'!$A$2:$AE$439,2,FALSE)),'Preliminary SO66'!C72,IF(VLOOKUP($CZ75,'Audit Values'!$A$2:$AE$439,28,FALSE)="",VLOOKUP($CZ75,'Audit Values'!$A$2:$AE$439,3,FALSE),VLOOKUP($CZ75,'Audit Values'!$A$2:$AE$439,28,FALSE)))</f>
        <v>15</v>
      </c>
      <c r="P75" s="109">
        <f t="shared" si="146"/>
        <v>1756.6</v>
      </c>
      <c r="Q75" s="110">
        <f t="shared" si="147"/>
        <v>1756.6</v>
      </c>
      <c r="R75" s="111">
        <f t="shared" si="148"/>
        <v>1756.6</v>
      </c>
      <c r="S75" s="1">
        <f t="shared" si="149"/>
        <v>1760.8</v>
      </c>
      <c r="T75" s="1">
        <f t="shared" si="133"/>
        <v>0</v>
      </c>
      <c r="U75" s="1">
        <f t="shared" si="150"/>
        <v>61.7</v>
      </c>
      <c r="V75" s="1">
        <f t="shared" si="179"/>
        <v>0</v>
      </c>
      <c r="W75" s="1">
        <f t="shared" si="180"/>
        <v>61.7</v>
      </c>
      <c r="X75" s="1">
        <f>IF(ISNA(VLOOKUP($CZ75,'Audit Values'!$A$2:$AE$439,2,FALSE)),'Preliminary SO66'!D72,VLOOKUP($CZ75,'Audit Values'!$A$2:$AE$439,4,FALSE))</f>
        <v>433.1</v>
      </c>
      <c r="Y75" s="1">
        <f>ROUND((X75/6)*Weightings!$M$6,1)</f>
        <v>36.1</v>
      </c>
      <c r="Z75" s="1">
        <f>IF(ISNA(VLOOKUP($CZ75,'Audit Values'!$A$2:$AE$439,2,FALSE)),'Preliminary SO66'!F72,VLOOKUP($CZ75,'Audit Values'!$A$2:$AE$439,6,FALSE))</f>
        <v>5.8</v>
      </c>
      <c r="AA75" s="1">
        <f>ROUND((Z75/6)*Weightings!$M$7,1)</f>
        <v>0.4</v>
      </c>
      <c r="AB75" s="2">
        <f>IF(ISNA(VLOOKUP($CZ75,'Audit Values'!$A$2:$AE$439,2,FALSE)),'Preliminary SO66'!H72,VLOOKUP($CZ75,'Audit Values'!$A$2:$AE$439,8,FALSE))</f>
        <v>504</v>
      </c>
      <c r="AC75" s="1">
        <f>ROUND(AB75*Weightings!$M$8,1)</f>
        <v>229.8</v>
      </c>
      <c r="AD75" s="1">
        <f t="shared" si="169"/>
        <v>0</v>
      </c>
      <c r="AE75" s="185">
        <v>130</v>
      </c>
      <c r="AF75" s="1">
        <f>AE75*Weightings!$M$9</f>
        <v>6</v>
      </c>
      <c r="AG75" s="1">
        <f>IF(ISNA(VLOOKUP($CZ75,'Audit Values'!$A$2:$AE$439,2,FALSE)),'Preliminary SO66'!L72,VLOOKUP($CZ75,'Audit Values'!$A$2:$AE$439,12,FALSE))</f>
        <v>34.1</v>
      </c>
      <c r="AH75" s="1">
        <f>ROUND(AG75*Weightings!$M$10,1)</f>
        <v>8.5</v>
      </c>
      <c r="AI75" s="1">
        <f>IF(ISNA(VLOOKUP($CZ75,'Audit Values'!$A$2:$AE$439,2,FALSE)),'Preliminary SO66'!O72,VLOOKUP($CZ75,'Audit Values'!$A$2:$AE$439,15,FALSE))</f>
        <v>429</v>
      </c>
      <c r="AJ75" s="1">
        <f t="shared" si="151"/>
        <v>76.900000000000006</v>
      </c>
      <c r="AK75" s="1">
        <f>CC75/Weightings!$M$5</f>
        <v>0</v>
      </c>
      <c r="AL75" s="1">
        <f>CD75/Weightings!$M$5</f>
        <v>0</v>
      </c>
      <c r="AM75" s="1">
        <f>CH75/Weightings!$M$5</f>
        <v>0</v>
      </c>
      <c r="AN75" s="1">
        <f t="shared" si="181"/>
        <v>0</v>
      </c>
      <c r="AO75" s="1">
        <f>IF(ISNA(VLOOKUP($CZ75,'Audit Values'!$A$2:$AE$439,2,FALSE)),'Preliminary SO66'!X72,VLOOKUP($CZ75,'Audit Values'!$A$2:$AE$439,24,FALSE))</f>
        <v>0</v>
      </c>
      <c r="AP75" s="188">
        <v>1525298</v>
      </c>
      <c r="AQ75" s="113">
        <f>AP75/Weightings!$M$5</f>
        <v>397.4</v>
      </c>
      <c r="AR75" s="113">
        <f t="shared" si="152"/>
        <v>2180.1999999999998</v>
      </c>
      <c r="AS75" s="1">
        <f t="shared" si="153"/>
        <v>2577.6</v>
      </c>
      <c r="AT75" s="1">
        <f t="shared" si="154"/>
        <v>2577.6</v>
      </c>
      <c r="AU75" s="2">
        <f t="shared" si="170"/>
        <v>50000</v>
      </c>
      <c r="AV75" s="82">
        <f>IF(ISNA(VLOOKUP($CZ75,'Audit Values'!$A$2:$AC$360,2,FALSE)),"",IF(AND(Weightings!H75&gt;0,VLOOKUP($CZ75,'Audit Values'!$A$2:$AC$360,29,FALSE)&lt;Weightings!H75),Weightings!H75,VLOOKUP($CZ75,'Audit Values'!$A$2:$AC$360,29,FALSE)))</f>
        <v>15</v>
      </c>
      <c r="AW75" s="82" t="str">
        <f>IF(ISNA(VLOOKUP($CZ75,'Audit Values'!$A$2:$AD$360,2,FALSE)),"",VLOOKUP($CZ75,'Audit Values'!$A$2:$AD$360,30,FALSE))</f>
        <v>A</v>
      </c>
      <c r="AX75" s="82" t="str">
        <f>IF(Weightings!G75="","",IF(Weightings!I75="Pending","PX","R"))</f>
        <v/>
      </c>
      <c r="AY75" s="114">
        <f>AR75*Weightings!$M$5+AU75</f>
        <v>8417608</v>
      </c>
      <c r="AZ75" s="2">
        <f>AT75*Weightings!$M$5+AU75</f>
        <v>9942829</v>
      </c>
      <c r="BA75" s="2">
        <f>IF(Weightings!G75&gt;0,Weightings!G75,'Preliminary SO66'!AB72)</f>
        <v>9943980</v>
      </c>
      <c r="BB75" s="2">
        <f t="shared" si="155"/>
        <v>9942829</v>
      </c>
      <c r="BC75" s="124"/>
      <c r="BD75" s="124">
        <f>Weightings!E75</f>
        <v>0</v>
      </c>
      <c r="BE75" s="124">
        <f>Weightings!F75</f>
        <v>0</v>
      </c>
      <c r="BF75" s="2">
        <f t="shared" si="156"/>
        <v>0</v>
      </c>
      <c r="BG75" s="2">
        <f t="shared" si="157"/>
        <v>9942829</v>
      </c>
      <c r="BH75" s="2">
        <f>MAX(ROUND(((AR75-AO75)*4433)+AP75,0),ROUND(((AR75-AO75)*4433)+Weightings!B75,0))</f>
        <v>11190125</v>
      </c>
      <c r="BI75" s="174">
        <v>0.3</v>
      </c>
      <c r="BJ75" s="2">
        <f t="shared" si="134"/>
        <v>3357038</v>
      </c>
      <c r="BK75" s="173">
        <v>3357919</v>
      </c>
      <c r="BL75" s="2">
        <f t="shared" si="158"/>
        <v>3357038</v>
      </c>
      <c r="BM75" s="3">
        <f t="shared" si="171"/>
        <v>0.3</v>
      </c>
      <c r="BN75" s="1">
        <f t="shared" si="159"/>
        <v>0</v>
      </c>
      <c r="BO75" s="4" t="b">
        <f t="shared" si="160"/>
        <v>0</v>
      </c>
      <c r="BP75" s="5">
        <f t="shared" si="161"/>
        <v>0</v>
      </c>
      <c r="BQ75" s="6">
        <f t="shared" si="140"/>
        <v>0</v>
      </c>
      <c r="BR75" s="4">
        <f t="shared" si="162"/>
        <v>0</v>
      </c>
      <c r="BS75" s="4" t="b">
        <f t="shared" si="163"/>
        <v>0</v>
      </c>
      <c r="BT75" s="4">
        <f t="shared" si="164"/>
        <v>0</v>
      </c>
      <c r="BU75" s="6">
        <f t="shared" si="141"/>
        <v>0</v>
      </c>
      <c r="BV75" s="1">
        <f t="shared" si="165"/>
        <v>0</v>
      </c>
      <c r="BW75" s="1">
        <f t="shared" si="166"/>
        <v>61.7</v>
      </c>
      <c r="BX75" s="116">
        <v>82.4</v>
      </c>
      <c r="BY75" s="7">
        <f t="shared" si="172"/>
        <v>5.21</v>
      </c>
      <c r="BZ75" s="7">
        <f>IF(ROUND((Weightings!$P$5*BY75^Weightings!$P$6*Weightings!$P$8 ),2)&lt;Weightings!$P$7,Weightings!$P$7,ROUND((Weightings!$P$5*BY75^Weightings!$P$6*Weightings!$P$8 ),2))</f>
        <v>687.8</v>
      </c>
      <c r="CA75" s="8">
        <f>ROUND(BZ75/Weightings!$M$5,4)</f>
        <v>0.1792</v>
      </c>
      <c r="CB75" s="1">
        <f t="shared" si="173"/>
        <v>76.900000000000006</v>
      </c>
      <c r="CC75" s="173">
        <v>0</v>
      </c>
      <c r="CD75" s="173">
        <v>0</v>
      </c>
      <c r="CE75" s="173">
        <v>0</v>
      </c>
      <c r="CF75" s="177">
        <v>0</v>
      </c>
      <c r="CG75" s="2">
        <f>AS75*Weightings!$M$5*CF75</f>
        <v>0</v>
      </c>
      <c r="CH75" s="2">
        <f t="shared" si="174"/>
        <v>0</v>
      </c>
      <c r="CI75" s="117">
        <f t="shared" si="167"/>
        <v>0.28599999999999998</v>
      </c>
      <c r="CJ75" s="4">
        <f t="shared" si="168"/>
        <v>21.4</v>
      </c>
      <c r="CK75" s="1">
        <f t="shared" si="175"/>
        <v>0</v>
      </c>
      <c r="CL75" s="1">
        <f t="shared" si="176"/>
        <v>0</v>
      </c>
      <c r="CM75" s="1">
        <f t="shared" si="177"/>
        <v>0</v>
      </c>
      <c r="CN75" s="1">
        <f>IF(ISNA(VLOOKUP($CZ75,'Audit Values'!$A$2:$AE$439,2,FALSE)),'Preliminary SO66'!T72,VLOOKUP($CZ75,'Audit Values'!$A$2:$AE$439,20,FALSE))</f>
        <v>0</v>
      </c>
      <c r="CO75" s="1">
        <f t="shared" si="182"/>
        <v>0</v>
      </c>
      <c r="CP75" s="183">
        <v>0</v>
      </c>
      <c r="CQ75" s="1">
        <f t="shared" si="183"/>
        <v>0</v>
      </c>
      <c r="CR75" s="2">
        <f>IF(ISNA(VLOOKUP($CZ75,'Audit Values'!$A$2:$AE$439,2,FALSE)),'Preliminary SO66'!V72,VLOOKUP($CZ75,'Audit Values'!$A$2:$AE$439,22,FALSE))</f>
        <v>0</v>
      </c>
      <c r="CS75" s="1">
        <f t="shared" si="184"/>
        <v>0</v>
      </c>
      <c r="CT75" s="2">
        <f>IF(ISNA(VLOOKUP($CZ75,'Audit Values'!$A$2:$AE$439,2,FALSE)),'Preliminary SO66'!W72,VLOOKUP($CZ75,'Audit Values'!$A$2:$AE$439,23,FALSE))</f>
        <v>0</v>
      </c>
      <c r="CU75" s="1">
        <f t="shared" si="138"/>
        <v>0</v>
      </c>
      <c r="CV75" s="1">
        <f t="shared" si="139"/>
        <v>0</v>
      </c>
      <c r="CW75" s="176">
        <v>50000</v>
      </c>
      <c r="CX75" s="2">
        <f>IF(CW75&gt;0,Weightings!$M$11*AR75,0)</f>
        <v>545050</v>
      </c>
      <c r="CY75" s="2">
        <f t="shared" si="178"/>
        <v>50000</v>
      </c>
      <c r="CZ75" s="108" t="s">
        <v>367</v>
      </c>
    </row>
    <row r="76" spans="1:104">
      <c r="A76" s="82">
        <v>264</v>
      </c>
      <c r="B76" s="4" t="s">
        <v>35</v>
      </c>
      <c r="C76" s="4" t="s">
        <v>703</v>
      </c>
      <c r="D76" s="1">
        <v>1186.0999999999999</v>
      </c>
      <c r="E76" s="1">
        <v>0</v>
      </c>
      <c r="F76" s="1">
        <f t="shared" si="135"/>
        <v>1186.0999999999999</v>
      </c>
      <c r="G76" s="1">
        <v>1136.3</v>
      </c>
      <c r="H76" s="1">
        <v>0</v>
      </c>
      <c r="I76" s="1">
        <f t="shared" si="142"/>
        <v>1136.3</v>
      </c>
      <c r="J76" s="1">
        <f t="shared" si="143"/>
        <v>1128.5999999999999</v>
      </c>
      <c r="K76" s="1">
        <f>IF(ISNA(VLOOKUP($CZ76,'Audit Values'!$A$2:$AE$439,2,FALSE)),'Preliminary SO66'!B73,VLOOKUP($CZ76,'Audit Values'!$A$2:$AE$439,31,FALSE))</f>
        <v>1128.5999999999999</v>
      </c>
      <c r="L76" s="1">
        <f t="shared" si="144"/>
        <v>1150.3</v>
      </c>
      <c r="M76" s="1">
        <f>IF(ISNA(VLOOKUP($CZ76,'Audit Values'!$A$2:$AE$439,2,FALSE)),'Preliminary SO66'!Z73,VLOOKUP($CZ76,'Audit Values'!$A$2:$AE$439,26,FALSE))</f>
        <v>0</v>
      </c>
      <c r="N76" s="1">
        <f t="shared" si="145"/>
        <v>1150.3</v>
      </c>
      <c r="O76" s="1">
        <f>IF(ISNA(VLOOKUP($CZ76,'Audit Values'!$A$2:$AE$439,2,FALSE)),'Preliminary SO66'!C73,IF(VLOOKUP($CZ76,'Audit Values'!$A$2:$AE$439,28,FALSE)="",VLOOKUP($CZ76,'Audit Values'!$A$2:$AE$439,3,FALSE),VLOOKUP($CZ76,'Audit Values'!$A$2:$AE$439,28,FALSE)))</f>
        <v>3</v>
      </c>
      <c r="P76" s="109">
        <f t="shared" si="146"/>
        <v>1131.5999999999999</v>
      </c>
      <c r="Q76" s="110">
        <f t="shared" si="147"/>
        <v>1131.5999999999999</v>
      </c>
      <c r="R76" s="111">
        <f t="shared" si="148"/>
        <v>1131.5999999999999</v>
      </c>
      <c r="S76" s="1">
        <f t="shared" si="149"/>
        <v>1153.3</v>
      </c>
      <c r="T76" s="1">
        <f t="shared" si="133"/>
        <v>0</v>
      </c>
      <c r="U76" s="1">
        <f t="shared" si="150"/>
        <v>224.1</v>
      </c>
      <c r="V76" s="1">
        <f t="shared" si="179"/>
        <v>224.1</v>
      </c>
      <c r="W76" s="1">
        <f t="shared" si="180"/>
        <v>0</v>
      </c>
      <c r="X76" s="1">
        <f>IF(ISNA(VLOOKUP($CZ76,'Audit Values'!$A$2:$AE$439,2,FALSE)),'Preliminary SO66'!D73,VLOOKUP($CZ76,'Audit Values'!$A$2:$AE$439,4,FALSE))</f>
        <v>40.700000000000003</v>
      </c>
      <c r="Y76" s="1">
        <f>ROUND((X76/6)*Weightings!$M$6,1)</f>
        <v>3.4</v>
      </c>
      <c r="Z76" s="1">
        <f>IF(ISNA(VLOOKUP($CZ76,'Audit Values'!$A$2:$AE$439,2,FALSE)),'Preliminary SO66'!F73,VLOOKUP($CZ76,'Audit Values'!$A$2:$AE$439,6,FALSE))</f>
        <v>0</v>
      </c>
      <c r="AA76" s="1">
        <f>ROUND((Z76/6)*Weightings!$M$7,1)</f>
        <v>0</v>
      </c>
      <c r="AB76" s="2">
        <f>IF(ISNA(VLOOKUP($CZ76,'Audit Values'!$A$2:$AE$439,2,FALSE)),'Preliminary SO66'!H73,VLOOKUP($CZ76,'Audit Values'!$A$2:$AE$439,8,FALSE))</f>
        <v>254</v>
      </c>
      <c r="AC76" s="1">
        <f>ROUND(AB76*Weightings!$M$8,1)</f>
        <v>115.8</v>
      </c>
      <c r="AD76" s="1">
        <f t="shared" si="169"/>
        <v>0</v>
      </c>
      <c r="AE76" s="185">
        <v>105</v>
      </c>
      <c r="AF76" s="1">
        <f>AE76*Weightings!$M$9</f>
        <v>4.9000000000000004</v>
      </c>
      <c r="AG76" s="1">
        <f>IF(ISNA(VLOOKUP($CZ76,'Audit Values'!$A$2:$AE$439,2,FALSE)),'Preliminary SO66'!L73,VLOOKUP($CZ76,'Audit Values'!$A$2:$AE$439,12,FALSE))</f>
        <v>0</v>
      </c>
      <c r="AH76" s="1">
        <f>ROUND(AG76*Weightings!$M$10,1)</f>
        <v>0</v>
      </c>
      <c r="AI76" s="1">
        <f>IF(ISNA(VLOOKUP($CZ76,'Audit Values'!$A$2:$AE$439,2,FALSE)),'Preliminary SO66'!O73,VLOOKUP($CZ76,'Audit Values'!$A$2:$AE$439,15,FALSE))</f>
        <v>507.5</v>
      </c>
      <c r="AJ76" s="1">
        <f t="shared" si="151"/>
        <v>98.2</v>
      </c>
      <c r="AK76" s="1">
        <f>CC76/Weightings!$M$5</f>
        <v>0</v>
      </c>
      <c r="AL76" s="1">
        <f>CD76/Weightings!$M$5</f>
        <v>0</v>
      </c>
      <c r="AM76" s="1">
        <f>CH76/Weightings!$M$5</f>
        <v>0</v>
      </c>
      <c r="AN76" s="1">
        <f t="shared" si="181"/>
        <v>0</v>
      </c>
      <c r="AO76" s="1">
        <f>IF(ISNA(VLOOKUP($CZ76,'Audit Values'!$A$2:$AE$439,2,FALSE)),'Preliminary SO66'!X73,VLOOKUP($CZ76,'Audit Values'!$A$2:$AE$439,24,FALSE))</f>
        <v>1</v>
      </c>
      <c r="AP76" s="188">
        <v>1102230</v>
      </c>
      <c r="AQ76" s="113">
        <f>AP76/Weightings!$M$5</f>
        <v>287.2</v>
      </c>
      <c r="AR76" s="113">
        <f t="shared" si="152"/>
        <v>1600.7</v>
      </c>
      <c r="AS76" s="1">
        <f t="shared" si="153"/>
        <v>1887.9</v>
      </c>
      <c r="AT76" s="1">
        <f t="shared" si="154"/>
        <v>1887.9</v>
      </c>
      <c r="AU76" s="2">
        <f t="shared" si="170"/>
        <v>0</v>
      </c>
      <c r="AV76" s="82">
        <f>IF(ISNA(VLOOKUP($CZ76,'Audit Values'!$A$2:$AC$360,2,FALSE)),"",IF(AND(Weightings!H76&gt;0,VLOOKUP($CZ76,'Audit Values'!$A$2:$AC$360,29,FALSE)&lt;Weightings!H76),Weightings!H76,VLOOKUP($CZ76,'Audit Values'!$A$2:$AC$360,29,FALSE)))</f>
        <v>26</v>
      </c>
      <c r="AW76" s="82" t="str">
        <f>IF(ISNA(VLOOKUP($CZ76,'Audit Values'!$A$2:$AD$360,2,FALSE)),"",VLOOKUP($CZ76,'Audit Values'!$A$2:$AD$360,30,FALSE))</f>
        <v>A</v>
      </c>
      <c r="AX76" s="82" t="str">
        <f>IF(Weightings!G76="","",IF(Weightings!I76="Pending","PX","R"))</f>
        <v/>
      </c>
      <c r="AY76" s="114">
        <f>AR76*Weightings!$M$5+AU76</f>
        <v>6143487</v>
      </c>
      <c r="AZ76" s="2">
        <f>AT76*Weightings!$M$5+AU76</f>
        <v>7245760</v>
      </c>
      <c r="BA76" s="2">
        <f>IF(Weightings!G76&gt;0,Weightings!G76,'Preliminary SO66'!AB73)</f>
        <v>7508279</v>
      </c>
      <c r="BB76" s="2">
        <f t="shared" si="155"/>
        <v>7245760</v>
      </c>
      <c r="BC76" s="124"/>
      <c r="BD76" s="124">
        <f>Weightings!E76</f>
        <v>0</v>
      </c>
      <c r="BE76" s="124">
        <f>Weightings!F76</f>
        <v>0</v>
      </c>
      <c r="BF76" s="2">
        <f t="shared" si="156"/>
        <v>0</v>
      </c>
      <c r="BG76" s="2">
        <f t="shared" si="157"/>
        <v>7245760</v>
      </c>
      <c r="BH76" s="2">
        <f>MAX(ROUND(((AR76-AO76)*4433)+AP76,0),ROUND(((AR76-AO76)*4433)+Weightings!B76,0))</f>
        <v>8193700</v>
      </c>
      <c r="BI76" s="174">
        <v>0.3</v>
      </c>
      <c r="BJ76" s="2">
        <f t="shared" si="134"/>
        <v>2458110</v>
      </c>
      <c r="BK76" s="173">
        <v>2546371</v>
      </c>
      <c r="BL76" s="2">
        <f t="shared" si="158"/>
        <v>2458110</v>
      </c>
      <c r="BM76" s="3">
        <f t="shared" si="171"/>
        <v>0.3</v>
      </c>
      <c r="BN76" s="1">
        <f t="shared" si="159"/>
        <v>0</v>
      </c>
      <c r="BO76" s="4" t="b">
        <f t="shared" si="160"/>
        <v>0</v>
      </c>
      <c r="BP76" s="5">
        <f t="shared" si="161"/>
        <v>0</v>
      </c>
      <c r="BQ76" s="6">
        <f t="shared" si="140"/>
        <v>0</v>
      </c>
      <c r="BR76" s="4">
        <f t="shared" si="162"/>
        <v>0</v>
      </c>
      <c r="BS76" s="4" t="b">
        <f t="shared" si="163"/>
        <v>1</v>
      </c>
      <c r="BT76" s="4">
        <f t="shared" si="164"/>
        <v>1055.9588000000001</v>
      </c>
      <c r="BU76" s="6">
        <f t="shared" si="141"/>
        <v>0.19427900000000001</v>
      </c>
      <c r="BV76" s="1">
        <f t="shared" si="165"/>
        <v>224.1</v>
      </c>
      <c r="BW76" s="1">
        <f t="shared" si="166"/>
        <v>0</v>
      </c>
      <c r="BX76" s="116">
        <v>136</v>
      </c>
      <c r="BY76" s="7">
        <f t="shared" si="172"/>
        <v>3.73</v>
      </c>
      <c r="BZ76" s="7">
        <f>IF(ROUND((Weightings!$P$5*BY76^Weightings!$P$6*Weightings!$P$8 ),2)&lt;Weightings!$P$7,Weightings!$P$7,ROUND((Weightings!$P$5*BY76^Weightings!$P$6*Weightings!$P$8 ),2))</f>
        <v>742.28</v>
      </c>
      <c r="CA76" s="8">
        <f>ROUND(BZ76/Weightings!$M$5,4)</f>
        <v>0.19339999999999999</v>
      </c>
      <c r="CB76" s="1">
        <f t="shared" si="173"/>
        <v>98.2</v>
      </c>
      <c r="CC76" s="173">
        <v>0</v>
      </c>
      <c r="CD76" s="173">
        <v>0</v>
      </c>
      <c r="CE76" s="173">
        <v>0</v>
      </c>
      <c r="CF76" s="177">
        <v>0</v>
      </c>
      <c r="CG76" s="2">
        <f>AS76*Weightings!$M$5*CF76</f>
        <v>0</v>
      </c>
      <c r="CH76" s="2">
        <f t="shared" si="174"/>
        <v>0</v>
      </c>
      <c r="CI76" s="117">
        <f t="shared" si="167"/>
        <v>0.22</v>
      </c>
      <c r="CJ76" s="4">
        <f t="shared" si="168"/>
        <v>8.5</v>
      </c>
      <c r="CK76" s="1">
        <f t="shared" si="175"/>
        <v>0</v>
      </c>
      <c r="CL76" s="1">
        <f t="shared" si="176"/>
        <v>0</v>
      </c>
      <c r="CM76" s="1">
        <f t="shared" si="177"/>
        <v>0</v>
      </c>
      <c r="CN76" s="1">
        <f>IF(ISNA(VLOOKUP($CZ76,'Audit Values'!$A$2:$AE$439,2,FALSE)),'Preliminary SO66'!T73,VLOOKUP($CZ76,'Audit Values'!$A$2:$AE$439,20,FALSE))</f>
        <v>0</v>
      </c>
      <c r="CO76" s="1">
        <f t="shared" si="182"/>
        <v>0</v>
      </c>
      <c r="CP76" s="183">
        <v>0</v>
      </c>
      <c r="CQ76" s="1">
        <f t="shared" si="183"/>
        <v>0</v>
      </c>
      <c r="CR76" s="2">
        <f>IF(ISNA(VLOOKUP($CZ76,'Audit Values'!$A$2:$AE$439,2,FALSE)),'Preliminary SO66'!V73,VLOOKUP($CZ76,'Audit Values'!$A$2:$AE$439,22,FALSE))</f>
        <v>0</v>
      </c>
      <c r="CS76" s="1">
        <f t="shared" si="184"/>
        <v>0</v>
      </c>
      <c r="CT76" s="2">
        <f>IF(ISNA(VLOOKUP($CZ76,'Audit Values'!$A$2:$AE$439,2,FALSE)),'Preliminary SO66'!W73,VLOOKUP($CZ76,'Audit Values'!$A$2:$AE$439,23,FALSE))</f>
        <v>0</v>
      </c>
      <c r="CU76" s="1">
        <f t="shared" si="138"/>
        <v>0</v>
      </c>
      <c r="CV76" s="1">
        <f t="shared" si="139"/>
        <v>0</v>
      </c>
      <c r="CW76" s="176">
        <v>0</v>
      </c>
      <c r="CX76" s="2">
        <f>IF(CW76&gt;0,Weightings!$M$11*AR76,0)</f>
        <v>0</v>
      </c>
      <c r="CY76" s="2">
        <f t="shared" si="178"/>
        <v>0</v>
      </c>
      <c r="CZ76" s="108" t="s">
        <v>368</v>
      </c>
    </row>
    <row r="77" spans="1:104">
      <c r="A77" s="82">
        <v>265</v>
      </c>
      <c r="B77" s="4" t="s">
        <v>35</v>
      </c>
      <c r="C77" s="4" t="s">
        <v>704</v>
      </c>
      <c r="D77" s="1">
        <v>5015.2</v>
      </c>
      <c r="E77" s="1">
        <v>0</v>
      </c>
      <c r="F77" s="1">
        <f t="shared" si="135"/>
        <v>5015.2</v>
      </c>
      <c r="G77" s="1">
        <v>5015.5</v>
      </c>
      <c r="H77" s="1">
        <v>0</v>
      </c>
      <c r="I77" s="1">
        <f t="shared" si="142"/>
        <v>5015.5</v>
      </c>
      <c r="J77" s="1">
        <f t="shared" si="143"/>
        <v>5101.1000000000004</v>
      </c>
      <c r="K77" s="1">
        <f>IF(ISNA(VLOOKUP($CZ77,'Audit Values'!$A$2:$AE$439,2,FALSE)),'Preliminary SO66'!B74,VLOOKUP($CZ77,'Audit Values'!$A$2:$AE$439,31,FALSE))</f>
        <v>5086.1000000000004</v>
      </c>
      <c r="L77" s="1">
        <f t="shared" si="144"/>
        <v>5086.1000000000004</v>
      </c>
      <c r="M77" s="1">
        <f>IF(ISNA(VLOOKUP($CZ77,'Audit Values'!$A$2:$AE$439,2,FALSE)),'Preliminary SO66'!Z74,VLOOKUP($CZ77,'Audit Values'!$A$2:$AE$439,26,FALSE))</f>
        <v>0</v>
      </c>
      <c r="N77" s="1">
        <f t="shared" si="145"/>
        <v>5086.1000000000004</v>
      </c>
      <c r="O77" s="1">
        <f>IF(ISNA(VLOOKUP($CZ77,'Audit Values'!$A$2:$AE$439,2,FALSE)),'Preliminary SO66'!C74,IF(VLOOKUP($CZ77,'Audit Values'!$A$2:$AE$439,28,FALSE)="",VLOOKUP($CZ77,'Audit Values'!$A$2:$AE$439,3,FALSE),VLOOKUP($CZ77,'Audit Values'!$A$2:$AE$439,28,FALSE)))</f>
        <v>30</v>
      </c>
      <c r="P77" s="109">
        <f t="shared" si="146"/>
        <v>5116.1000000000004</v>
      </c>
      <c r="Q77" s="110">
        <f t="shared" si="147"/>
        <v>5131.1000000000004</v>
      </c>
      <c r="R77" s="111">
        <f t="shared" si="148"/>
        <v>5131.1000000000004</v>
      </c>
      <c r="S77" s="1">
        <f t="shared" si="149"/>
        <v>5116.1000000000004</v>
      </c>
      <c r="T77" s="1">
        <f t="shared" si="133"/>
        <v>15</v>
      </c>
      <c r="U77" s="1">
        <f t="shared" si="150"/>
        <v>179.3</v>
      </c>
      <c r="V77" s="1">
        <f t="shared" si="179"/>
        <v>0</v>
      </c>
      <c r="W77" s="1">
        <f t="shared" si="180"/>
        <v>179.3</v>
      </c>
      <c r="X77" s="1">
        <f>IF(ISNA(VLOOKUP($CZ77,'Audit Values'!$A$2:$AE$439,2,FALSE)),'Preliminary SO66'!D74,VLOOKUP($CZ77,'Audit Values'!$A$2:$AE$439,4,FALSE))</f>
        <v>1083.0999999999999</v>
      </c>
      <c r="Y77" s="1">
        <f>ROUND((X77/6)*Weightings!$M$6,1)</f>
        <v>90.3</v>
      </c>
      <c r="Z77" s="1">
        <f>IF(ISNA(VLOOKUP($CZ77,'Audit Values'!$A$2:$AE$439,2,FALSE)),'Preliminary SO66'!F74,VLOOKUP($CZ77,'Audit Values'!$A$2:$AE$439,6,FALSE))</f>
        <v>628.1</v>
      </c>
      <c r="AA77" s="1">
        <f>ROUND((Z77/6)*Weightings!$M$7,1)</f>
        <v>41.3</v>
      </c>
      <c r="AB77" s="2">
        <f>IF(ISNA(VLOOKUP($CZ77,'Audit Values'!$A$2:$AE$439,2,FALSE)),'Preliminary SO66'!H74,VLOOKUP($CZ77,'Audit Values'!$A$2:$AE$439,8,FALSE))</f>
        <v>1028</v>
      </c>
      <c r="AC77" s="1">
        <f>ROUND(AB77*Weightings!$M$8,1)</f>
        <v>468.8</v>
      </c>
      <c r="AD77" s="1">
        <f t="shared" si="169"/>
        <v>0</v>
      </c>
      <c r="AE77" s="185">
        <v>208</v>
      </c>
      <c r="AF77" s="1">
        <f>AE77*Weightings!$M$9</f>
        <v>9.6999999999999993</v>
      </c>
      <c r="AG77" s="1">
        <f>IF(ISNA(VLOOKUP($CZ77,'Audit Values'!$A$2:$AE$439,2,FALSE)),'Preliminary SO66'!L74,VLOOKUP($CZ77,'Audit Values'!$A$2:$AE$439,12,FALSE))</f>
        <v>0</v>
      </c>
      <c r="AH77" s="1">
        <f>ROUND(AG77*Weightings!$M$10,1)</f>
        <v>0</v>
      </c>
      <c r="AI77" s="1">
        <f>IF(ISNA(VLOOKUP($CZ77,'Audit Values'!$A$2:$AE$439,2,FALSE)),'Preliminary SO66'!O74,VLOOKUP($CZ77,'Audit Values'!$A$2:$AE$439,15,FALSE))</f>
        <v>3567</v>
      </c>
      <c r="AJ77" s="1">
        <f t="shared" si="151"/>
        <v>543.6</v>
      </c>
      <c r="AK77" s="1">
        <f>CC77/Weightings!$M$5</f>
        <v>0</v>
      </c>
      <c r="AL77" s="1">
        <f>CD77/Weightings!$M$5</f>
        <v>0</v>
      </c>
      <c r="AM77" s="1">
        <f>CH77/Weightings!$M$5</f>
        <v>0</v>
      </c>
      <c r="AN77" s="1">
        <f t="shared" si="181"/>
        <v>15.8</v>
      </c>
      <c r="AO77" s="1">
        <f>IF(ISNA(VLOOKUP($CZ77,'Audit Values'!$A$2:$AE$439,2,FALSE)),'Preliminary SO66'!X74,VLOOKUP($CZ77,'Audit Values'!$A$2:$AE$439,24,FALSE))</f>
        <v>1</v>
      </c>
      <c r="AP77" s="188">
        <v>4384613</v>
      </c>
      <c r="AQ77" s="113">
        <f>AP77/Weightings!$M$5</f>
        <v>1142.4000000000001</v>
      </c>
      <c r="AR77" s="113">
        <f t="shared" si="152"/>
        <v>6465.9</v>
      </c>
      <c r="AS77" s="1">
        <f t="shared" si="153"/>
        <v>7608.3</v>
      </c>
      <c r="AT77" s="1">
        <f t="shared" si="154"/>
        <v>7608.3</v>
      </c>
      <c r="AU77" s="2">
        <f t="shared" si="170"/>
        <v>0</v>
      </c>
      <c r="AV77" s="82">
        <f>IF(ISNA(VLOOKUP($CZ77,'Audit Values'!$A$2:$AC$360,2,FALSE)),"",IF(AND(Weightings!H77&gt;0,VLOOKUP($CZ77,'Audit Values'!$A$2:$AC$360,29,FALSE)&lt;Weightings!H77),Weightings!H77,VLOOKUP($CZ77,'Audit Values'!$A$2:$AC$360,29,FALSE)))</f>
        <v>26</v>
      </c>
      <c r="AW77" s="82" t="str">
        <f>IF(ISNA(VLOOKUP($CZ77,'Audit Values'!$A$2:$AD$360,2,FALSE)),"",VLOOKUP($CZ77,'Audit Values'!$A$2:$AD$360,30,FALSE))</f>
        <v>A</v>
      </c>
      <c r="AX77" s="82" t="str">
        <f>IF(Weightings!G77="","",IF(Weightings!I77="Pending","PX","R"))</f>
        <v/>
      </c>
      <c r="AY77" s="114">
        <f>AR77*Weightings!$M$5+AU77</f>
        <v>24816124</v>
      </c>
      <c r="AZ77" s="2">
        <f>AT77*Weightings!$M$5+AU77</f>
        <v>29200655</v>
      </c>
      <c r="BA77" s="2">
        <f>IF(Weightings!G77&gt;0,Weightings!G77,'Preliminary SO66'!AB74)</f>
        <v>29876143</v>
      </c>
      <c r="BB77" s="2">
        <f t="shared" si="155"/>
        <v>29200655</v>
      </c>
      <c r="BC77" s="124"/>
      <c r="BD77" s="124">
        <f>Weightings!E77</f>
        <v>0</v>
      </c>
      <c r="BE77" s="124">
        <f>Weightings!F77</f>
        <v>0</v>
      </c>
      <c r="BF77" s="2">
        <f t="shared" si="156"/>
        <v>0</v>
      </c>
      <c r="BG77" s="2">
        <f t="shared" si="157"/>
        <v>29200655</v>
      </c>
      <c r="BH77" s="2">
        <f>MAX(ROUND(((AR77-AO77)*4433)+AP77,0),ROUND(((AR77-AO77)*4433)+Weightings!B77,0))</f>
        <v>33043515</v>
      </c>
      <c r="BI77" s="174">
        <v>0.3</v>
      </c>
      <c r="BJ77" s="2">
        <f t="shared" si="134"/>
        <v>9913055</v>
      </c>
      <c r="BK77" s="173">
        <v>10120982</v>
      </c>
      <c r="BL77" s="2">
        <f t="shared" si="158"/>
        <v>9913055</v>
      </c>
      <c r="BM77" s="3">
        <f t="shared" si="171"/>
        <v>0.3</v>
      </c>
      <c r="BN77" s="1">
        <f t="shared" si="159"/>
        <v>0</v>
      </c>
      <c r="BO77" s="4" t="b">
        <f t="shared" si="160"/>
        <v>0</v>
      </c>
      <c r="BP77" s="5">
        <f t="shared" si="161"/>
        <v>0</v>
      </c>
      <c r="BQ77" s="6">
        <f t="shared" si="140"/>
        <v>0</v>
      </c>
      <c r="BR77" s="4">
        <f t="shared" si="162"/>
        <v>0</v>
      </c>
      <c r="BS77" s="4" t="b">
        <f t="shared" si="163"/>
        <v>0</v>
      </c>
      <c r="BT77" s="4">
        <f t="shared" si="164"/>
        <v>0</v>
      </c>
      <c r="BU77" s="6">
        <f t="shared" si="141"/>
        <v>0</v>
      </c>
      <c r="BV77" s="1">
        <f t="shared" si="165"/>
        <v>0</v>
      </c>
      <c r="BW77" s="1">
        <f t="shared" si="166"/>
        <v>179.3</v>
      </c>
      <c r="BX77" s="116">
        <v>65.099999999999994</v>
      </c>
      <c r="BY77" s="7">
        <f t="shared" si="172"/>
        <v>54.79</v>
      </c>
      <c r="BZ77" s="7">
        <f>IF(ROUND((Weightings!$P$5*BY77^Weightings!$P$6*Weightings!$P$8 ),2)&lt;Weightings!$P$7,Weightings!$P$7,ROUND((Weightings!$P$5*BY77^Weightings!$P$6*Weightings!$P$8 ),2))</f>
        <v>585</v>
      </c>
      <c r="CA77" s="8">
        <f>ROUND(BZ77/Weightings!$M$5,4)</f>
        <v>0.15240000000000001</v>
      </c>
      <c r="CB77" s="1">
        <f t="shared" si="173"/>
        <v>543.6</v>
      </c>
      <c r="CC77" s="173">
        <v>0</v>
      </c>
      <c r="CD77" s="173">
        <v>0</v>
      </c>
      <c r="CE77" s="173">
        <v>0</v>
      </c>
      <c r="CF77" s="177">
        <v>4.1999999999999997E-3</v>
      </c>
      <c r="CG77" s="2">
        <f>AS77*Weightings!$M$5*CF77</f>
        <v>122643</v>
      </c>
      <c r="CH77" s="2">
        <f t="shared" si="174"/>
        <v>0</v>
      </c>
      <c r="CI77" s="117">
        <f t="shared" si="167"/>
        <v>0.20100000000000001</v>
      </c>
      <c r="CJ77" s="4">
        <f t="shared" si="168"/>
        <v>78.599999999999994</v>
      </c>
      <c r="CK77" s="1">
        <f t="shared" si="175"/>
        <v>0</v>
      </c>
      <c r="CL77" s="1">
        <f t="shared" si="176"/>
        <v>0</v>
      </c>
      <c r="CM77" s="1">
        <f t="shared" si="177"/>
        <v>0</v>
      </c>
      <c r="CN77" s="1">
        <f>IF(ISNA(VLOOKUP($CZ77,'Audit Values'!$A$2:$AE$439,2,FALSE)),'Preliminary SO66'!T74,VLOOKUP($CZ77,'Audit Values'!$A$2:$AE$439,20,FALSE))</f>
        <v>15</v>
      </c>
      <c r="CO77" s="1">
        <f t="shared" si="182"/>
        <v>15.8</v>
      </c>
      <c r="CP77" s="183">
        <v>0</v>
      </c>
      <c r="CQ77" s="1">
        <f t="shared" si="183"/>
        <v>0</v>
      </c>
      <c r="CR77" s="2">
        <f>IF(ISNA(VLOOKUP($CZ77,'Audit Values'!$A$2:$AE$439,2,FALSE)),'Preliminary SO66'!V74,VLOOKUP($CZ77,'Audit Values'!$A$2:$AE$439,22,FALSE))</f>
        <v>0</v>
      </c>
      <c r="CS77" s="1">
        <f t="shared" si="184"/>
        <v>0</v>
      </c>
      <c r="CT77" s="2">
        <f>IF(ISNA(VLOOKUP($CZ77,'Audit Values'!$A$2:$AE$439,2,FALSE)),'Preliminary SO66'!W74,VLOOKUP($CZ77,'Audit Values'!$A$2:$AE$439,23,FALSE))</f>
        <v>0</v>
      </c>
      <c r="CU77" s="1">
        <f t="shared" si="138"/>
        <v>0</v>
      </c>
      <c r="CV77" s="1">
        <f t="shared" si="139"/>
        <v>15.8</v>
      </c>
      <c r="CW77" s="176">
        <v>0</v>
      </c>
      <c r="CX77" s="2">
        <f>IF(CW77&gt;0,Weightings!$M$11*AR77,0)</f>
        <v>0</v>
      </c>
      <c r="CY77" s="2">
        <f t="shared" si="178"/>
        <v>0</v>
      </c>
      <c r="CZ77" s="108" t="s">
        <v>369</v>
      </c>
    </row>
    <row r="78" spans="1:104">
      <c r="A78" s="82">
        <v>266</v>
      </c>
      <c r="B78" s="4" t="s">
        <v>35</v>
      </c>
      <c r="C78" s="4" t="s">
        <v>705</v>
      </c>
      <c r="D78" s="1">
        <v>6447.4</v>
      </c>
      <c r="E78" s="1">
        <v>0</v>
      </c>
      <c r="F78" s="1">
        <f t="shared" si="135"/>
        <v>6447.4</v>
      </c>
      <c r="G78" s="1">
        <v>6416.6</v>
      </c>
      <c r="H78" s="1">
        <v>0</v>
      </c>
      <c r="I78" s="1">
        <f t="shared" si="142"/>
        <v>6416.6</v>
      </c>
      <c r="J78" s="1">
        <f t="shared" si="143"/>
        <v>6764.5</v>
      </c>
      <c r="K78" s="1">
        <f>IF(ISNA(VLOOKUP($CZ78,'Audit Values'!$A$2:$AE$439,2,FALSE)),'Preliminary SO66'!B75,VLOOKUP($CZ78,'Audit Values'!$A$2:$AE$439,31,FALSE))</f>
        <v>6420.7</v>
      </c>
      <c r="L78" s="1">
        <f t="shared" si="144"/>
        <v>6428.2</v>
      </c>
      <c r="M78" s="1">
        <f>IF(ISNA(VLOOKUP($CZ78,'Audit Values'!$A$2:$AE$439,2,FALSE)),'Preliminary SO66'!Z75,VLOOKUP($CZ78,'Audit Values'!$A$2:$AE$439,26,FALSE))</f>
        <v>0</v>
      </c>
      <c r="N78" s="1">
        <f t="shared" si="145"/>
        <v>6428.2</v>
      </c>
      <c r="O78" s="1">
        <f>IF(ISNA(VLOOKUP($CZ78,'Audit Values'!$A$2:$AE$439,2,FALSE)),'Preliminary SO66'!C75,IF(VLOOKUP($CZ78,'Audit Values'!$A$2:$AE$439,28,FALSE)="",VLOOKUP($CZ78,'Audit Values'!$A$2:$AE$439,3,FALSE),VLOOKUP($CZ78,'Audit Values'!$A$2:$AE$439,28,FALSE)))</f>
        <v>18</v>
      </c>
      <c r="P78" s="109">
        <f t="shared" si="146"/>
        <v>6438.7</v>
      </c>
      <c r="Q78" s="110">
        <f t="shared" si="147"/>
        <v>6782.5</v>
      </c>
      <c r="R78" s="111">
        <f t="shared" si="148"/>
        <v>6782.5</v>
      </c>
      <c r="S78" s="1">
        <f t="shared" si="149"/>
        <v>6446.2</v>
      </c>
      <c r="T78" s="1">
        <f t="shared" si="133"/>
        <v>343.8</v>
      </c>
      <c r="U78" s="1">
        <f t="shared" si="150"/>
        <v>225.9</v>
      </c>
      <c r="V78" s="1">
        <f t="shared" si="179"/>
        <v>0</v>
      </c>
      <c r="W78" s="1">
        <f t="shared" si="180"/>
        <v>225.9</v>
      </c>
      <c r="X78" s="1">
        <f>IF(ISNA(VLOOKUP($CZ78,'Audit Values'!$A$2:$AE$439,2,FALSE)),'Preliminary SO66'!D75,VLOOKUP($CZ78,'Audit Values'!$A$2:$AE$439,4,FALSE))</f>
        <v>1930.5</v>
      </c>
      <c r="Y78" s="1">
        <f>ROUND((X78/6)*Weightings!$M$6,1)</f>
        <v>160.9</v>
      </c>
      <c r="Z78" s="1">
        <f>IF(ISNA(VLOOKUP($CZ78,'Audit Values'!$A$2:$AE$439,2,FALSE)),'Preliminary SO66'!F75,VLOOKUP($CZ78,'Audit Values'!$A$2:$AE$439,6,FALSE))</f>
        <v>80</v>
      </c>
      <c r="AA78" s="1">
        <f>ROUND((Z78/6)*Weightings!$M$7,1)</f>
        <v>5.3</v>
      </c>
      <c r="AB78" s="2">
        <f>IF(ISNA(VLOOKUP($CZ78,'Audit Values'!$A$2:$AE$439,2,FALSE)),'Preliminary SO66'!H75,VLOOKUP($CZ78,'Audit Values'!$A$2:$AE$439,8,FALSE))</f>
        <v>1009</v>
      </c>
      <c r="AC78" s="1">
        <f>ROUND(AB78*Weightings!$M$8,1)</f>
        <v>460.1</v>
      </c>
      <c r="AD78" s="1">
        <f t="shared" si="169"/>
        <v>0</v>
      </c>
      <c r="AE78" s="185">
        <v>376</v>
      </c>
      <c r="AF78" s="1">
        <f>AE78*Weightings!$M$9</f>
        <v>17.5</v>
      </c>
      <c r="AG78" s="1">
        <f>IF(ISNA(VLOOKUP($CZ78,'Audit Values'!$A$2:$AE$439,2,FALSE)),'Preliminary SO66'!L75,VLOOKUP($CZ78,'Audit Values'!$A$2:$AE$439,12,FALSE))</f>
        <v>16</v>
      </c>
      <c r="AH78" s="1">
        <f>ROUND(AG78*Weightings!$M$10,1)</f>
        <v>4</v>
      </c>
      <c r="AI78" s="1">
        <f>IF(ISNA(VLOOKUP($CZ78,'Audit Values'!$A$2:$AE$439,2,FALSE)),'Preliminary SO66'!O75,VLOOKUP($CZ78,'Audit Values'!$A$2:$AE$439,15,FALSE))</f>
        <v>4407</v>
      </c>
      <c r="AJ78" s="1">
        <f t="shared" si="151"/>
        <v>671.6</v>
      </c>
      <c r="AK78" s="1">
        <f>CC78/Weightings!$M$5</f>
        <v>0</v>
      </c>
      <c r="AL78" s="1">
        <f>CD78/Weightings!$M$5</f>
        <v>0</v>
      </c>
      <c r="AM78" s="1">
        <f>CH78/Weightings!$M$5</f>
        <v>0</v>
      </c>
      <c r="AN78" s="1">
        <f t="shared" si="181"/>
        <v>371.3</v>
      </c>
      <c r="AO78" s="1">
        <f>IF(ISNA(VLOOKUP($CZ78,'Audit Values'!$A$2:$AE$439,2,FALSE)),'Preliminary SO66'!X75,VLOOKUP($CZ78,'Audit Values'!$A$2:$AE$439,24,FALSE))</f>
        <v>1</v>
      </c>
      <c r="AP78" s="188">
        <v>5749324</v>
      </c>
      <c r="AQ78" s="113">
        <f>AP78/Weightings!$M$5</f>
        <v>1498</v>
      </c>
      <c r="AR78" s="113">
        <f t="shared" si="152"/>
        <v>8363.7999999999993</v>
      </c>
      <c r="AS78" s="1">
        <f t="shared" si="153"/>
        <v>9861.7999999999993</v>
      </c>
      <c r="AT78" s="1">
        <f t="shared" si="154"/>
        <v>9861.7999999999993</v>
      </c>
      <c r="AU78" s="2">
        <f t="shared" si="170"/>
        <v>0</v>
      </c>
      <c r="AV78" s="82">
        <f>IF(ISNA(VLOOKUP($CZ78,'Audit Values'!$A$2:$AC$360,2,FALSE)),"",IF(AND(Weightings!H78&gt;0,VLOOKUP($CZ78,'Audit Values'!$A$2:$AC$360,29,FALSE)&lt;Weightings!H78),Weightings!H78,VLOOKUP($CZ78,'Audit Values'!$A$2:$AC$360,29,FALSE)))</f>
        <v>26</v>
      </c>
      <c r="AW78" s="82" t="str">
        <f>IF(ISNA(VLOOKUP($CZ78,'Audit Values'!$A$2:$AD$360,2,FALSE)),"",VLOOKUP($CZ78,'Audit Values'!$A$2:$AD$360,30,FALSE))</f>
        <v>A</v>
      </c>
      <c r="AX78" s="82" t="str">
        <f>IF(Weightings!G78="","",IF(Weightings!I78="Pending","PX","R"))</f>
        <v/>
      </c>
      <c r="AY78" s="114">
        <f>AR78*Weightings!$M$5+AU78</f>
        <v>32100264</v>
      </c>
      <c r="AZ78" s="2">
        <f>AT78*Weightings!$M$5+AU78</f>
        <v>37849588</v>
      </c>
      <c r="BA78" s="2">
        <f>IF(Weightings!G78&gt;0,Weightings!G78,'Preliminary SO66'!AB75)</f>
        <v>39040904</v>
      </c>
      <c r="BB78" s="2">
        <f t="shared" si="155"/>
        <v>37849588</v>
      </c>
      <c r="BC78" s="124"/>
      <c r="BD78" s="124">
        <f>Weightings!E78</f>
        <v>0</v>
      </c>
      <c r="BE78" s="124">
        <f>Weightings!F78</f>
        <v>0</v>
      </c>
      <c r="BF78" s="2">
        <f t="shared" si="156"/>
        <v>0</v>
      </c>
      <c r="BG78" s="2">
        <f t="shared" si="157"/>
        <v>37849588</v>
      </c>
      <c r="BH78" s="2">
        <f>MAX(ROUND(((AR78-AO78)*4433)+AP78,0),ROUND(((AR78-AO78)*4433)+Weightings!B78,0))</f>
        <v>42821616</v>
      </c>
      <c r="BI78" s="174">
        <v>0.3</v>
      </c>
      <c r="BJ78" s="2">
        <f t="shared" si="134"/>
        <v>12846485</v>
      </c>
      <c r="BK78" s="173">
        <v>13000000</v>
      </c>
      <c r="BL78" s="2">
        <f t="shared" si="158"/>
        <v>12846485</v>
      </c>
      <c r="BM78" s="3">
        <f t="shared" si="171"/>
        <v>0.3</v>
      </c>
      <c r="BN78" s="1">
        <f t="shared" si="159"/>
        <v>0</v>
      </c>
      <c r="BO78" s="4" t="b">
        <f t="shared" si="160"/>
        <v>0</v>
      </c>
      <c r="BP78" s="5">
        <f t="shared" si="161"/>
        <v>0</v>
      </c>
      <c r="BQ78" s="6">
        <f t="shared" si="140"/>
        <v>0</v>
      </c>
      <c r="BR78" s="4">
        <f t="shared" si="162"/>
        <v>0</v>
      </c>
      <c r="BS78" s="4" t="b">
        <f t="shared" si="163"/>
        <v>0</v>
      </c>
      <c r="BT78" s="4">
        <f t="shared" si="164"/>
        <v>0</v>
      </c>
      <c r="BU78" s="6">
        <f t="shared" si="141"/>
        <v>0</v>
      </c>
      <c r="BV78" s="1">
        <f t="shared" si="165"/>
        <v>0</v>
      </c>
      <c r="BW78" s="1">
        <f t="shared" si="166"/>
        <v>225.9</v>
      </c>
      <c r="BX78" s="116">
        <v>42.5</v>
      </c>
      <c r="BY78" s="7">
        <f t="shared" si="172"/>
        <v>103.69</v>
      </c>
      <c r="BZ78" s="7">
        <f>IF(ROUND((Weightings!$P$5*BY78^Weightings!$P$6*Weightings!$P$8 ),2)&lt;Weightings!$P$7,Weightings!$P$7,ROUND((Weightings!$P$5*BY78^Weightings!$P$6*Weightings!$P$8 ),2))</f>
        <v>585</v>
      </c>
      <c r="CA78" s="8">
        <f>ROUND(BZ78/Weightings!$M$5,4)</f>
        <v>0.15240000000000001</v>
      </c>
      <c r="CB78" s="1">
        <f t="shared" si="173"/>
        <v>671.6</v>
      </c>
      <c r="CC78" s="173">
        <v>0</v>
      </c>
      <c r="CD78" s="173">
        <v>0</v>
      </c>
      <c r="CE78" s="173">
        <v>0</v>
      </c>
      <c r="CF78" s="177">
        <v>1.5699999999999999E-2</v>
      </c>
      <c r="CG78" s="2">
        <f>AS78*Weightings!$M$5*CF78</f>
        <v>594239</v>
      </c>
      <c r="CH78" s="2">
        <f t="shared" si="174"/>
        <v>0</v>
      </c>
      <c r="CI78" s="117">
        <f t="shared" si="167"/>
        <v>0.157</v>
      </c>
      <c r="CJ78" s="4">
        <f t="shared" si="168"/>
        <v>151.69999999999999</v>
      </c>
      <c r="CK78" s="1">
        <f t="shared" si="175"/>
        <v>0</v>
      </c>
      <c r="CL78" s="1">
        <f t="shared" si="176"/>
        <v>0</v>
      </c>
      <c r="CM78" s="1">
        <f t="shared" si="177"/>
        <v>0</v>
      </c>
      <c r="CN78" s="1">
        <f>IF(ISNA(VLOOKUP($CZ78,'Audit Values'!$A$2:$AE$439,2,FALSE)),'Preliminary SO66'!T75,VLOOKUP($CZ78,'Audit Values'!$A$2:$AE$439,20,FALSE))</f>
        <v>343.8</v>
      </c>
      <c r="CO78" s="1">
        <f t="shared" si="182"/>
        <v>361</v>
      </c>
      <c r="CP78" s="181">
        <v>41</v>
      </c>
      <c r="CQ78" s="1">
        <f t="shared" si="183"/>
        <v>10.3</v>
      </c>
      <c r="CR78" s="2">
        <f>IF(ISNA(VLOOKUP($CZ78,'Audit Values'!$A$2:$AE$439,2,FALSE)),'Preliminary SO66'!V75,VLOOKUP($CZ78,'Audit Values'!$A$2:$AE$439,22,FALSE))</f>
        <v>0</v>
      </c>
      <c r="CS78" s="1">
        <f t="shared" si="184"/>
        <v>0</v>
      </c>
      <c r="CT78" s="2">
        <f>IF(ISNA(VLOOKUP($CZ78,'Audit Values'!$A$2:$AE$439,2,FALSE)),'Preliminary SO66'!W75,VLOOKUP($CZ78,'Audit Values'!$A$2:$AE$439,23,FALSE))</f>
        <v>0</v>
      </c>
      <c r="CU78" s="1">
        <f t="shared" si="138"/>
        <v>0</v>
      </c>
      <c r="CV78" s="1">
        <f t="shared" si="139"/>
        <v>371.3</v>
      </c>
      <c r="CW78" s="176">
        <v>0</v>
      </c>
      <c r="CX78" s="2">
        <f>IF(CW78&gt;0,Weightings!$M$11*AR78,0)</f>
        <v>0</v>
      </c>
      <c r="CY78" s="2">
        <f t="shared" si="178"/>
        <v>0</v>
      </c>
      <c r="CZ78" s="108" t="s">
        <v>370</v>
      </c>
    </row>
    <row r="79" spans="1:104">
      <c r="A79" s="82">
        <v>267</v>
      </c>
      <c r="B79" s="4" t="s">
        <v>35</v>
      </c>
      <c r="C79" s="4" t="s">
        <v>706</v>
      </c>
      <c r="D79" s="1">
        <v>1869.8</v>
      </c>
      <c r="E79" s="1">
        <v>0</v>
      </c>
      <c r="F79" s="1">
        <f t="shared" si="135"/>
        <v>1869.8</v>
      </c>
      <c r="G79" s="1">
        <v>1855.5</v>
      </c>
      <c r="H79" s="1">
        <v>0</v>
      </c>
      <c r="I79" s="1">
        <f t="shared" si="142"/>
        <v>1855.5</v>
      </c>
      <c r="J79" s="1">
        <f t="shared" si="143"/>
        <v>1845</v>
      </c>
      <c r="K79" s="1">
        <f>IF(ISNA(VLOOKUP($CZ79,'Audit Values'!$A$2:$AE$439,2,FALSE)),'Preliminary SO66'!B76,VLOOKUP($CZ79,'Audit Values'!$A$2:$AE$439,31,FALSE))</f>
        <v>1845</v>
      </c>
      <c r="L79" s="1">
        <f t="shared" si="144"/>
        <v>1856.8</v>
      </c>
      <c r="M79" s="1">
        <f>IF(ISNA(VLOOKUP($CZ79,'Audit Values'!$A$2:$AE$439,2,FALSE)),'Preliminary SO66'!Z76,VLOOKUP($CZ79,'Audit Values'!$A$2:$AE$439,26,FALSE))</f>
        <v>0</v>
      </c>
      <c r="N79" s="1">
        <f t="shared" si="145"/>
        <v>1856.8</v>
      </c>
      <c r="O79" s="1">
        <f>IF(ISNA(VLOOKUP($CZ79,'Audit Values'!$A$2:$AE$439,2,FALSE)),'Preliminary SO66'!C76,IF(VLOOKUP($CZ79,'Audit Values'!$A$2:$AE$439,28,FALSE)="",VLOOKUP($CZ79,'Audit Values'!$A$2:$AE$439,3,FALSE),VLOOKUP($CZ79,'Audit Values'!$A$2:$AE$439,28,FALSE)))</f>
        <v>0</v>
      </c>
      <c r="P79" s="109">
        <f t="shared" si="146"/>
        <v>1845</v>
      </c>
      <c r="Q79" s="110">
        <f t="shared" si="147"/>
        <v>1845</v>
      </c>
      <c r="R79" s="111">
        <f t="shared" si="148"/>
        <v>1845</v>
      </c>
      <c r="S79" s="1">
        <f t="shared" si="149"/>
        <v>1856.8</v>
      </c>
      <c r="T79" s="1">
        <f t="shared" ref="T79:T142" si="185">CN79</f>
        <v>0</v>
      </c>
      <c r="U79" s="1">
        <f t="shared" si="150"/>
        <v>65.099999999999994</v>
      </c>
      <c r="V79" s="1">
        <f t="shared" si="179"/>
        <v>0</v>
      </c>
      <c r="W79" s="1">
        <f t="shared" si="180"/>
        <v>65.099999999999994</v>
      </c>
      <c r="X79" s="1">
        <f>IF(ISNA(VLOOKUP($CZ79,'Audit Values'!$A$2:$AE$439,2,FALSE)),'Preliminary SO66'!D76,VLOOKUP($CZ79,'Audit Values'!$A$2:$AE$439,4,FALSE))</f>
        <v>348.6</v>
      </c>
      <c r="Y79" s="1">
        <f>ROUND((X79/6)*Weightings!$M$6,1)</f>
        <v>29.1</v>
      </c>
      <c r="Z79" s="1">
        <f>IF(ISNA(VLOOKUP($CZ79,'Audit Values'!$A$2:$AE$439,2,FALSE)),'Preliminary SO66'!F76,VLOOKUP($CZ79,'Audit Values'!$A$2:$AE$439,6,FALSE))</f>
        <v>0</v>
      </c>
      <c r="AA79" s="1">
        <f>ROUND((Z79/6)*Weightings!$M$7,1)</f>
        <v>0</v>
      </c>
      <c r="AB79" s="2">
        <f>IF(ISNA(VLOOKUP($CZ79,'Audit Values'!$A$2:$AE$439,2,FALSE)),'Preliminary SO66'!H76,VLOOKUP($CZ79,'Audit Values'!$A$2:$AE$439,8,FALSE))</f>
        <v>214</v>
      </c>
      <c r="AC79" s="1">
        <f>ROUND(AB79*Weightings!$M$8,1)</f>
        <v>97.6</v>
      </c>
      <c r="AD79" s="1">
        <f t="shared" si="169"/>
        <v>0</v>
      </c>
      <c r="AE79" s="185">
        <v>108</v>
      </c>
      <c r="AF79" s="1">
        <f>AE79*Weightings!$M$9</f>
        <v>5</v>
      </c>
      <c r="AG79" s="1">
        <f>IF(ISNA(VLOOKUP($CZ79,'Audit Values'!$A$2:$AE$439,2,FALSE)),'Preliminary SO66'!L76,VLOOKUP($CZ79,'Audit Values'!$A$2:$AE$439,12,FALSE))</f>
        <v>0</v>
      </c>
      <c r="AH79" s="1">
        <f>ROUND(AG79*Weightings!$M$10,1)</f>
        <v>0</v>
      </c>
      <c r="AI79" s="1">
        <f>IF(ISNA(VLOOKUP($CZ79,'Audit Values'!$A$2:$AE$439,2,FALSE)),'Preliminary SO66'!O76,VLOOKUP($CZ79,'Audit Values'!$A$2:$AE$439,15,FALSE))</f>
        <v>749</v>
      </c>
      <c r="AJ79" s="1">
        <f t="shared" si="151"/>
        <v>146.30000000000001</v>
      </c>
      <c r="AK79" s="1">
        <f>CC79/Weightings!$M$5</f>
        <v>0</v>
      </c>
      <c r="AL79" s="1">
        <f>CD79/Weightings!$M$5</f>
        <v>0</v>
      </c>
      <c r="AM79" s="1">
        <f>CH79/Weightings!$M$5</f>
        <v>0</v>
      </c>
      <c r="AN79" s="1">
        <f t="shared" si="181"/>
        <v>0</v>
      </c>
      <c r="AO79" s="1">
        <f>IF(ISNA(VLOOKUP($CZ79,'Audit Values'!$A$2:$AE$439,2,FALSE)),'Preliminary SO66'!X76,VLOOKUP($CZ79,'Audit Values'!$A$2:$AE$439,24,FALSE))</f>
        <v>0</v>
      </c>
      <c r="AP79" s="188">
        <v>1671136</v>
      </c>
      <c r="AQ79" s="113">
        <f>AP79/Weightings!$M$5</f>
        <v>435.4</v>
      </c>
      <c r="AR79" s="113">
        <f t="shared" si="152"/>
        <v>2199.9</v>
      </c>
      <c r="AS79" s="1">
        <f t="shared" si="153"/>
        <v>2635.3</v>
      </c>
      <c r="AT79" s="1">
        <f t="shared" si="154"/>
        <v>2635.3</v>
      </c>
      <c r="AU79" s="2">
        <f t="shared" si="170"/>
        <v>15000</v>
      </c>
      <c r="AV79" s="82">
        <f>IF(ISNA(VLOOKUP($CZ79,'Audit Values'!$A$2:$AC$360,2,FALSE)),"",IF(AND(Weightings!H79&gt;0,VLOOKUP($CZ79,'Audit Values'!$A$2:$AC$360,29,FALSE)&lt;Weightings!H79),Weightings!H79,VLOOKUP($CZ79,'Audit Values'!$A$2:$AC$360,29,FALSE)))</f>
        <v>18</v>
      </c>
      <c r="AW79" s="82" t="str">
        <f>IF(ISNA(VLOOKUP($CZ79,'Audit Values'!$A$2:$AD$360,2,FALSE)),"",VLOOKUP($CZ79,'Audit Values'!$A$2:$AD$360,30,FALSE))</f>
        <v>A</v>
      </c>
      <c r="AX79" s="82" t="str">
        <f>IF(Weightings!G79="","",IF(Weightings!I79="Pending","PX","R"))</f>
        <v/>
      </c>
      <c r="AY79" s="114">
        <f>AR79*Weightings!$M$5+AU79</f>
        <v>8458216</v>
      </c>
      <c r="AZ79" s="2">
        <f>AT79*Weightings!$M$5+AU79</f>
        <v>10129281</v>
      </c>
      <c r="BA79" s="2">
        <f>IF(Weightings!G79&gt;0,Weightings!G79,'Preliminary SO66'!AB76)</f>
        <v>10893811</v>
      </c>
      <c r="BB79" s="2">
        <f t="shared" si="155"/>
        <v>10129281</v>
      </c>
      <c r="BC79" s="124"/>
      <c r="BD79" s="124">
        <f>Weightings!E79</f>
        <v>0</v>
      </c>
      <c r="BE79" s="124">
        <f>Weightings!F79</f>
        <v>0</v>
      </c>
      <c r="BF79" s="2">
        <f t="shared" si="156"/>
        <v>0</v>
      </c>
      <c r="BG79" s="2">
        <f t="shared" si="157"/>
        <v>10129281</v>
      </c>
      <c r="BH79" s="2">
        <f>MAX(ROUND(((AR79-AO79)*4433)+AP79,0),ROUND(((AR79-AO79)*4433)+Weightings!B79,0))</f>
        <v>11423293</v>
      </c>
      <c r="BI79" s="174">
        <v>0.31</v>
      </c>
      <c r="BJ79" s="2">
        <f t="shared" si="134"/>
        <v>3541221</v>
      </c>
      <c r="BK79" s="173">
        <v>3801928</v>
      </c>
      <c r="BL79" s="2">
        <f t="shared" si="158"/>
        <v>3541221</v>
      </c>
      <c r="BM79" s="3">
        <f t="shared" si="171"/>
        <v>0.31</v>
      </c>
      <c r="BN79" s="1">
        <f t="shared" si="159"/>
        <v>0</v>
      </c>
      <c r="BO79" s="4" t="b">
        <f t="shared" si="160"/>
        <v>0</v>
      </c>
      <c r="BP79" s="5">
        <f t="shared" si="161"/>
        <v>0</v>
      </c>
      <c r="BQ79" s="6">
        <f t="shared" si="140"/>
        <v>0</v>
      </c>
      <c r="BR79" s="4">
        <f t="shared" si="162"/>
        <v>0</v>
      </c>
      <c r="BS79" s="4" t="b">
        <f t="shared" si="163"/>
        <v>0</v>
      </c>
      <c r="BT79" s="4">
        <f t="shared" si="164"/>
        <v>0</v>
      </c>
      <c r="BU79" s="6">
        <f t="shared" si="141"/>
        <v>0</v>
      </c>
      <c r="BV79" s="1">
        <f t="shared" si="165"/>
        <v>0</v>
      </c>
      <c r="BW79" s="1">
        <f t="shared" si="166"/>
        <v>65.099999999999994</v>
      </c>
      <c r="BX79" s="116">
        <v>210</v>
      </c>
      <c r="BY79" s="7">
        <f t="shared" si="172"/>
        <v>3.57</v>
      </c>
      <c r="BZ79" s="7">
        <f>IF(ROUND((Weightings!$P$5*BY79^Weightings!$P$6*Weightings!$P$8 ),2)&lt;Weightings!$P$7,Weightings!$P$7,ROUND((Weightings!$P$5*BY79^Weightings!$P$6*Weightings!$P$8 ),2))</f>
        <v>749.74</v>
      </c>
      <c r="CA79" s="8">
        <f>ROUND(BZ79/Weightings!$M$5,4)</f>
        <v>0.1953</v>
      </c>
      <c r="CB79" s="1">
        <f t="shared" si="173"/>
        <v>146.30000000000001</v>
      </c>
      <c r="CC79" s="173">
        <v>0</v>
      </c>
      <c r="CD79" s="173">
        <v>0</v>
      </c>
      <c r="CE79" s="173">
        <v>0</v>
      </c>
      <c r="CF79" s="177">
        <v>0</v>
      </c>
      <c r="CG79" s="2">
        <f>AS79*Weightings!$M$5*CF79</f>
        <v>0</v>
      </c>
      <c r="CH79" s="2">
        <f t="shared" si="174"/>
        <v>0</v>
      </c>
      <c r="CI79" s="117">
        <f t="shared" si="167"/>
        <v>0.115</v>
      </c>
      <c r="CJ79" s="4">
        <f t="shared" si="168"/>
        <v>8.8000000000000007</v>
      </c>
      <c r="CK79" s="1">
        <f t="shared" si="175"/>
        <v>0</v>
      </c>
      <c r="CL79" s="1">
        <f t="shared" si="176"/>
        <v>0</v>
      </c>
      <c r="CM79" s="1">
        <f t="shared" si="177"/>
        <v>0</v>
      </c>
      <c r="CN79" s="1">
        <f>IF(ISNA(VLOOKUP($CZ79,'Audit Values'!$A$2:$AE$439,2,FALSE)),'Preliminary SO66'!T76,VLOOKUP($CZ79,'Audit Values'!$A$2:$AE$439,20,FALSE))</f>
        <v>0</v>
      </c>
      <c r="CO79" s="1">
        <f t="shared" si="182"/>
        <v>0</v>
      </c>
      <c r="CP79" s="183">
        <v>0</v>
      </c>
      <c r="CQ79" s="1">
        <f t="shared" si="183"/>
        <v>0</v>
      </c>
      <c r="CR79" s="2">
        <f>IF(ISNA(VLOOKUP($CZ79,'Audit Values'!$A$2:$AE$439,2,FALSE)),'Preliminary SO66'!V76,VLOOKUP($CZ79,'Audit Values'!$A$2:$AE$439,22,FALSE))</f>
        <v>0</v>
      </c>
      <c r="CS79" s="1">
        <f t="shared" si="184"/>
        <v>0</v>
      </c>
      <c r="CT79" s="2">
        <f>IF(ISNA(VLOOKUP($CZ79,'Audit Values'!$A$2:$AE$439,2,FALSE)),'Preliminary SO66'!W76,VLOOKUP($CZ79,'Audit Values'!$A$2:$AE$439,23,FALSE))</f>
        <v>0</v>
      </c>
      <c r="CU79" s="1">
        <f t="shared" si="138"/>
        <v>0</v>
      </c>
      <c r="CV79" s="1">
        <f t="shared" si="139"/>
        <v>0</v>
      </c>
      <c r="CW79" s="176">
        <v>15000</v>
      </c>
      <c r="CX79" s="2">
        <f>IF(CW79&gt;0,Weightings!$M$11*AR79,0)</f>
        <v>549975</v>
      </c>
      <c r="CY79" s="2">
        <f t="shared" si="178"/>
        <v>15000</v>
      </c>
      <c r="CZ79" s="108" t="s">
        <v>371</v>
      </c>
    </row>
    <row r="80" spans="1:104">
      <c r="A80" s="82">
        <v>268</v>
      </c>
      <c r="B80" s="4" t="s">
        <v>35</v>
      </c>
      <c r="C80" s="4" t="s">
        <v>707</v>
      </c>
      <c r="D80" s="1">
        <v>743</v>
      </c>
      <c r="E80" s="1">
        <v>0</v>
      </c>
      <c r="F80" s="1">
        <f t="shared" si="135"/>
        <v>743</v>
      </c>
      <c r="G80" s="1">
        <v>744.8</v>
      </c>
      <c r="H80" s="1">
        <v>0</v>
      </c>
      <c r="I80" s="1">
        <f t="shared" si="142"/>
        <v>744.8</v>
      </c>
      <c r="J80" s="1">
        <f t="shared" si="143"/>
        <v>744.6</v>
      </c>
      <c r="K80" s="1">
        <f>IF(ISNA(VLOOKUP($CZ80,'Audit Values'!$A$2:$AE$439,2,FALSE)),'Preliminary SO66'!B77,VLOOKUP($CZ80,'Audit Values'!$A$2:$AE$439,31,FALSE))</f>
        <v>744.6</v>
      </c>
      <c r="L80" s="1">
        <f t="shared" si="144"/>
        <v>744.8</v>
      </c>
      <c r="M80" s="1">
        <f>IF(ISNA(VLOOKUP($CZ80,'Audit Values'!$A$2:$AE$439,2,FALSE)),'Preliminary SO66'!Z77,VLOOKUP($CZ80,'Audit Values'!$A$2:$AE$439,26,FALSE))</f>
        <v>0</v>
      </c>
      <c r="N80" s="1">
        <f t="shared" si="145"/>
        <v>744.8</v>
      </c>
      <c r="O80" s="1">
        <f>IF(ISNA(VLOOKUP($CZ80,'Audit Values'!$A$2:$AE$439,2,FALSE)),'Preliminary SO66'!C77,IF(VLOOKUP($CZ80,'Audit Values'!$A$2:$AE$439,28,FALSE)="",VLOOKUP($CZ80,'Audit Values'!$A$2:$AE$439,3,FALSE),VLOOKUP($CZ80,'Audit Values'!$A$2:$AE$439,28,FALSE)))</f>
        <v>10</v>
      </c>
      <c r="P80" s="109">
        <f t="shared" si="146"/>
        <v>754.6</v>
      </c>
      <c r="Q80" s="110">
        <f t="shared" si="147"/>
        <v>754.6</v>
      </c>
      <c r="R80" s="111">
        <f t="shared" si="148"/>
        <v>754.6</v>
      </c>
      <c r="S80" s="1">
        <f t="shared" si="149"/>
        <v>754.8</v>
      </c>
      <c r="T80" s="1">
        <f t="shared" si="185"/>
        <v>0</v>
      </c>
      <c r="U80" s="1">
        <f t="shared" si="150"/>
        <v>248.8</v>
      </c>
      <c r="V80" s="1">
        <f t="shared" si="179"/>
        <v>248.8</v>
      </c>
      <c r="W80" s="1">
        <f t="shared" si="180"/>
        <v>0</v>
      </c>
      <c r="X80" s="1">
        <f>IF(ISNA(VLOOKUP($CZ80,'Audit Values'!$A$2:$AE$439,2,FALSE)),'Preliminary SO66'!D77,VLOOKUP($CZ80,'Audit Values'!$A$2:$AE$439,4,FALSE))</f>
        <v>151.19999999999999</v>
      </c>
      <c r="Y80" s="1">
        <f>ROUND((X80/6)*Weightings!$M$6,1)</f>
        <v>12.6</v>
      </c>
      <c r="Z80" s="1">
        <f>IF(ISNA(VLOOKUP($CZ80,'Audit Values'!$A$2:$AE$439,2,FALSE)),'Preliminary SO66'!F77,VLOOKUP($CZ80,'Audit Values'!$A$2:$AE$439,6,FALSE))</f>
        <v>0</v>
      </c>
      <c r="AA80" s="1">
        <f>ROUND((Z80/6)*Weightings!$M$7,1)</f>
        <v>0</v>
      </c>
      <c r="AB80" s="2">
        <f>IF(ISNA(VLOOKUP($CZ80,'Audit Values'!$A$2:$AE$439,2,FALSE)),'Preliminary SO66'!H77,VLOOKUP($CZ80,'Audit Values'!$A$2:$AE$439,8,FALSE))</f>
        <v>180</v>
      </c>
      <c r="AC80" s="1">
        <f>ROUND(AB80*Weightings!$M$8,1)</f>
        <v>82.1</v>
      </c>
      <c r="AD80" s="1">
        <f t="shared" si="169"/>
        <v>0</v>
      </c>
      <c r="AE80" s="185">
        <v>36</v>
      </c>
      <c r="AF80" s="1">
        <f>AE80*Weightings!$M$9</f>
        <v>1.7</v>
      </c>
      <c r="AG80" s="1">
        <f>IF(ISNA(VLOOKUP($CZ80,'Audit Values'!$A$2:$AE$439,2,FALSE)),'Preliminary SO66'!L77,VLOOKUP($CZ80,'Audit Values'!$A$2:$AE$439,12,FALSE))</f>
        <v>13</v>
      </c>
      <c r="AH80" s="1">
        <f>ROUND(AG80*Weightings!$M$10,1)</f>
        <v>3.3</v>
      </c>
      <c r="AI80" s="1">
        <f>IF(ISNA(VLOOKUP($CZ80,'Audit Values'!$A$2:$AE$439,2,FALSE)),'Preliminary SO66'!O77,VLOOKUP($CZ80,'Audit Values'!$A$2:$AE$439,15,FALSE))</f>
        <v>208</v>
      </c>
      <c r="AJ80" s="1">
        <f t="shared" si="151"/>
        <v>48.4</v>
      </c>
      <c r="AK80" s="1">
        <f>CC80/Weightings!$M$5</f>
        <v>0</v>
      </c>
      <c r="AL80" s="1">
        <f>CD80/Weightings!$M$5</f>
        <v>0</v>
      </c>
      <c r="AM80" s="1">
        <f>CH80/Weightings!$M$5</f>
        <v>0</v>
      </c>
      <c r="AN80" s="1">
        <f t="shared" si="181"/>
        <v>0</v>
      </c>
      <c r="AO80" s="1">
        <f>IF(ISNA(VLOOKUP($CZ80,'Audit Values'!$A$2:$AE$439,2,FALSE)),'Preliminary SO66'!X77,VLOOKUP($CZ80,'Audit Values'!$A$2:$AE$439,24,FALSE))</f>
        <v>0</v>
      </c>
      <c r="AP80" s="188">
        <v>693626.00000000012</v>
      </c>
      <c r="AQ80" s="113">
        <f>AP80/Weightings!$M$5</f>
        <v>180.7</v>
      </c>
      <c r="AR80" s="113">
        <f t="shared" si="152"/>
        <v>1151.7</v>
      </c>
      <c r="AS80" s="1">
        <f t="shared" si="153"/>
        <v>1332.4</v>
      </c>
      <c r="AT80" s="1">
        <f t="shared" si="154"/>
        <v>1332.4</v>
      </c>
      <c r="AU80" s="2">
        <f t="shared" si="170"/>
        <v>0</v>
      </c>
      <c r="AV80" s="82">
        <f>IF(ISNA(VLOOKUP($CZ80,'Audit Values'!$A$2:$AC$360,2,FALSE)),"",IF(AND(Weightings!H80&gt;0,VLOOKUP($CZ80,'Audit Values'!$A$2:$AC$360,29,FALSE)&lt;Weightings!H80),Weightings!H80,VLOOKUP($CZ80,'Audit Values'!$A$2:$AC$360,29,FALSE)))</f>
        <v>26</v>
      </c>
      <c r="AW80" s="82" t="str">
        <f>IF(ISNA(VLOOKUP($CZ80,'Audit Values'!$A$2:$AD$360,2,FALSE)),"",VLOOKUP($CZ80,'Audit Values'!$A$2:$AD$360,30,FALSE))</f>
        <v>A</v>
      </c>
      <c r="AX80" s="82" t="str">
        <f>IF(Weightings!G80="","",IF(Weightings!I80="Pending","PX","R"))</f>
        <v/>
      </c>
      <c r="AY80" s="114">
        <f>AR80*Weightings!$M$5+AU80</f>
        <v>4420225</v>
      </c>
      <c r="AZ80" s="2">
        <f>AT80*Weightings!$M$5+AU80</f>
        <v>5113751</v>
      </c>
      <c r="BA80" s="2">
        <f>IF(Weightings!G80&gt;0,Weightings!G80,'Preliminary SO66'!AB77)</f>
        <v>5344786</v>
      </c>
      <c r="BB80" s="2">
        <f t="shared" si="155"/>
        <v>5113751</v>
      </c>
      <c r="BC80" s="124"/>
      <c r="BD80" s="124">
        <f>Weightings!E80</f>
        <v>0</v>
      </c>
      <c r="BE80" s="124">
        <f>Weightings!F80</f>
        <v>0</v>
      </c>
      <c r="BF80" s="2">
        <f t="shared" si="156"/>
        <v>0</v>
      </c>
      <c r="BG80" s="2">
        <f t="shared" si="157"/>
        <v>5113751</v>
      </c>
      <c r="BH80" s="2">
        <f>MAX(ROUND(((AR80-AO80)*4433)+AP80,0),ROUND(((AR80-AO80)*4433)+Weightings!B80,0))</f>
        <v>5799112</v>
      </c>
      <c r="BI80" s="174">
        <v>0.3</v>
      </c>
      <c r="BJ80" s="2">
        <f t="shared" ref="BJ80:BJ87" si="186">BH80*BI80</f>
        <v>1739734</v>
      </c>
      <c r="BK80" s="173">
        <v>1757646</v>
      </c>
      <c r="BL80" s="2">
        <f t="shared" si="158"/>
        <v>1739734</v>
      </c>
      <c r="BM80" s="3">
        <f t="shared" si="171"/>
        <v>0.3</v>
      </c>
      <c r="BN80" s="1">
        <f t="shared" si="159"/>
        <v>0</v>
      </c>
      <c r="BO80" s="4" t="b">
        <f t="shared" si="160"/>
        <v>0</v>
      </c>
      <c r="BP80" s="5">
        <f t="shared" si="161"/>
        <v>0</v>
      </c>
      <c r="BQ80" s="6">
        <f t="shared" si="140"/>
        <v>0</v>
      </c>
      <c r="BR80" s="4">
        <f t="shared" si="162"/>
        <v>0</v>
      </c>
      <c r="BS80" s="4" t="b">
        <f t="shared" si="163"/>
        <v>1</v>
      </c>
      <c r="BT80" s="4">
        <f t="shared" si="164"/>
        <v>562.81500000000005</v>
      </c>
      <c r="BU80" s="6">
        <f t="shared" si="141"/>
        <v>0.32966899999999999</v>
      </c>
      <c r="BV80" s="1">
        <f t="shared" si="165"/>
        <v>248.8</v>
      </c>
      <c r="BW80" s="1">
        <f t="shared" si="166"/>
        <v>0</v>
      </c>
      <c r="BX80" s="116">
        <v>126</v>
      </c>
      <c r="BY80" s="7">
        <f t="shared" si="172"/>
        <v>1.65</v>
      </c>
      <c r="BZ80" s="7">
        <f>IF(ROUND((Weightings!$P$5*BY80^Weightings!$P$6*Weightings!$P$8 ),2)&lt;Weightings!$P$7,Weightings!$P$7,ROUND((Weightings!$P$5*BY80^Weightings!$P$6*Weightings!$P$8 ),2))</f>
        <v>894.06</v>
      </c>
      <c r="CA80" s="8">
        <f>ROUND(BZ80/Weightings!$M$5,4)</f>
        <v>0.2329</v>
      </c>
      <c r="CB80" s="1">
        <f t="shared" si="173"/>
        <v>48.4</v>
      </c>
      <c r="CC80" s="173">
        <v>0</v>
      </c>
      <c r="CD80" s="173">
        <v>0</v>
      </c>
      <c r="CE80" s="173">
        <v>0</v>
      </c>
      <c r="CF80" s="177">
        <v>0</v>
      </c>
      <c r="CG80" s="2">
        <f>AS80*Weightings!$M$5*CF80</f>
        <v>0</v>
      </c>
      <c r="CH80" s="2">
        <f t="shared" si="174"/>
        <v>0</v>
      </c>
      <c r="CI80" s="117">
        <f t="shared" si="167"/>
        <v>0.23799999999999999</v>
      </c>
      <c r="CJ80" s="4">
        <f t="shared" si="168"/>
        <v>6</v>
      </c>
      <c r="CK80" s="1">
        <f t="shared" si="175"/>
        <v>0</v>
      </c>
      <c r="CL80" s="1">
        <f t="shared" si="176"/>
        <v>0</v>
      </c>
      <c r="CM80" s="1">
        <f t="shared" si="177"/>
        <v>0</v>
      </c>
      <c r="CN80" s="1">
        <f>IF(ISNA(VLOOKUP($CZ80,'Audit Values'!$A$2:$AE$439,2,FALSE)),'Preliminary SO66'!T77,VLOOKUP($CZ80,'Audit Values'!$A$2:$AE$439,20,FALSE))</f>
        <v>0</v>
      </c>
      <c r="CO80" s="1">
        <f t="shared" si="182"/>
        <v>0</v>
      </c>
      <c r="CP80" s="183">
        <v>0</v>
      </c>
      <c r="CQ80" s="1">
        <f t="shared" si="183"/>
        <v>0</v>
      </c>
      <c r="CR80" s="2">
        <f>IF(ISNA(VLOOKUP($CZ80,'Audit Values'!$A$2:$AE$439,2,FALSE)),'Preliminary SO66'!V77,VLOOKUP($CZ80,'Audit Values'!$A$2:$AE$439,22,FALSE))</f>
        <v>0</v>
      </c>
      <c r="CS80" s="1">
        <f t="shared" si="184"/>
        <v>0</v>
      </c>
      <c r="CT80" s="2">
        <f>IF(ISNA(VLOOKUP($CZ80,'Audit Values'!$A$2:$AE$439,2,FALSE)),'Preliminary SO66'!W77,VLOOKUP($CZ80,'Audit Values'!$A$2:$AE$439,23,FALSE))</f>
        <v>0</v>
      </c>
      <c r="CU80" s="1">
        <f t="shared" si="138"/>
        <v>0</v>
      </c>
      <c r="CV80" s="1">
        <f t="shared" si="139"/>
        <v>0</v>
      </c>
      <c r="CW80" s="176">
        <v>0</v>
      </c>
      <c r="CX80" s="2">
        <f>IF(CW80&gt;0,Weightings!$M$11*AR80,0)</f>
        <v>0</v>
      </c>
      <c r="CY80" s="2">
        <f t="shared" si="178"/>
        <v>0</v>
      </c>
      <c r="CZ80" s="108" t="s">
        <v>372</v>
      </c>
    </row>
    <row r="81" spans="1:104">
      <c r="A81" s="82">
        <v>269</v>
      </c>
      <c r="B81" s="4" t="s">
        <v>37</v>
      </c>
      <c r="C81" s="4" t="s">
        <v>708</v>
      </c>
      <c r="D81" s="1">
        <v>125</v>
      </c>
      <c r="E81" s="1">
        <v>0</v>
      </c>
      <c r="F81" s="1">
        <f t="shared" si="135"/>
        <v>125</v>
      </c>
      <c r="G81" s="1">
        <v>113</v>
      </c>
      <c r="H81" s="1">
        <v>0</v>
      </c>
      <c r="I81" s="1">
        <f t="shared" si="142"/>
        <v>113</v>
      </c>
      <c r="J81" s="1">
        <f t="shared" si="143"/>
        <v>124.5</v>
      </c>
      <c r="K81" s="1">
        <f>IF(ISNA(VLOOKUP($CZ81,'Audit Values'!$A$2:$AE$439,2,FALSE)),'Preliminary SO66'!B78,VLOOKUP($CZ81,'Audit Values'!$A$2:$AE$439,31,FALSE))</f>
        <v>124.5</v>
      </c>
      <c r="L81" s="1">
        <f t="shared" si="144"/>
        <v>124.5</v>
      </c>
      <c r="M81" s="1">
        <f>IF(ISNA(VLOOKUP($CZ81,'Audit Values'!$A$2:$AE$439,2,FALSE)),'Preliminary SO66'!Z78,VLOOKUP($CZ81,'Audit Values'!$A$2:$AE$439,26,FALSE))</f>
        <v>0</v>
      </c>
      <c r="N81" s="1">
        <f t="shared" si="145"/>
        <v>124.5</v>
      </c>
      <c r="O81" s="1">
        <f>IF(ISNA(VLOOKUP($CZ81,'Audit Values'!$A$2:$AE$439,2,FALSE)),'Preliminary SO66'!C78,IF(VLOOKUP($CZ81,'Audit Values'!$A$2:$AE$439,28,FALSE)="",VLOOKUP($CZ81,'Audit Values'!$A$2:$AE$439,3,FALSE),VLOOKUP($CZ81,'Audit Values'!$A$2:$AE$439,28,FALSE)))</f>
        <v>2.5</v>
      </c>
      <c r="P81" s="109">
        <f t="shared" si="146"/>
        <v>127</v>
      </c>
      <c r="Q81" s="110">
        <f t="shared" si="147"/>
        <v>127</v>
      </c>
      <c r="R81" s="111">
        <f t="shared" si="148"/>
        <v>127</v>
      </c>
      <c r="S81" s="1">
        <f t="shared" si="149"/>
        <v>127</v>
      </c>
      <c r="T81" s="1">
        <f t="shared" si="185"/>
        <v>0</v>
      </c>
      <c r="U81" s="1">
        <f t="shared" si="150"/>
        <v>119.7</v>
      </c>
      <c r="V81" s="1">
        <f t="shared" si="179"/>
        <v>119.7</v>
      </c>
      <c r="W81" s="1">
        <f t="shared" si="180"/>
        <v>0</v>
      </c>
      <c r="X81" s="1">
        <f>IF(ISNA(VLOOKUP($CZ81,'Audit Values'!$A$2:$AE$439,2,FALSE)),'Preliminary SO66'!D78,VLOOKUP($CZ81,'Audit Values'!$A$2:$AE$439,4,FALSE))</f>
        <v>36.6</v>
      </c>
      <c r="Y81" s="1">
        <f>ROUND((X81/6)*Weightings!$M$6,1)</f>
        <v>3.1</v>
      </c>
      <c r="Z81" s="1">
        <f>IF(ISNA(VLOOKUP($CZ81,'Audit Values'!$A$2:$AE$439,2,FALSE)),'Preliminary SO66'!F78,VLOOKUP($CZ81,'Audit Values'!$A$2:$AE$439,6,FALSE))</f>
        <v>0</v>
      </c>
      <c r="AA81" s="1">
        <f>ROUND((Z81/6)*Weightings!$M$7,1)</f>
        <v>0</v>
      </c>
      <c r="AB81" s="2">
        <f>IF(ISNA(VLOOKUP($CZ81,'Audit Values'!$A$2:$AE$439,2,FALSE)),'Preliminary SO66'!H78,VLOOKUP($CZ81,'Audit Values'!$A$2:$AE$439,8,FALSE))</f>
        <v>55</v>
      </c>
      <c r="AC81" s="1">
        <f>ROUND(AB81*Weightings!$M$8,1)</f>
        <v>25.1</v>
      </c>
      <c r="AD81" s="1">
        <f t="shared" si="169"/>
        <v>3.2</v>
      </c>
      <c r="AE81" s="185">
        <v>12</v>
      </c>
      <c r="AF81" s="1">
        <f>AE81*Weightings!$M$9</f>
        <v>0.6</v>
      </c>
      <c r="AG81" s="1">
        <f>IF(ISNA(VLOOKUP($CZ81,'Audit Values'!$A$2:$AE$439,2,FALSE)),'Preliminary SO66'!L78,VLOOKUP($CZ81,'Audit Values'!$A$2:$AE$439,12,FALSE))</f>
        <v>0</v>
      </c>
      <c r="AH81" s="1">
        <f>ROUND(AG81*Weightings!$M$10,1)</f>
        <v>0</v>
      </c>
      <c r="AI81" s="1">
        <f>IF(ISNA(VLOOKUP($CZ81,'Audit Values'!$A$2:$AE$439,2,FALSE)),'Preliminary SO66'!O78,VLOOKUP($CZ81,'Audit Values'!$A$2:$AE$439,15,FALSE))</f>
        <v>71</v>
      </c>
      <c r="AJ81" s="1">
        <f t="shared" si="151"/>
        <v>24.6</v>
      </c>
      <c r="AK81" s="1">
        <f>CC81/Weightings!$M$5</f>
        <v>0</v>
      </c>
      <c r="AL81" s="1">
        <f>CD81/Weightings!$M$5</f>
        <v>0</v>
      </c>
      <c r="AM81" s="1">
        <f>CH81/Weightings!$M$5</f>
        <v>0</v>
      </c>
      <c r="AN81" s="1">
        <f t="shared" si="181"/>
        <v>0</v>
      </c>
      <c r="AO81" s="1">
        <f>IF(ISNA(VLOOKUP($CZ81,'Audit Values'!$A$2:$AE$439,2,FALSE)),'Preliminary SO66'!X78,VLOOKUP($CZ81,'Audit Values'!$A$2:$AE$439,24,FALSE))</f>
        <v>0</v>
      </c>
      <c r="AP81" s="188">
        <v>138163</v>
      </c>
      <c r="AQ81" s="113">
        <f>AP81/Weightings!$M$5</f>
        <v>36</v>
      </c>
      <c r="AR81" s="113">
        <f t="shared" si="152"/>
        <v>303.3</v>
      </c>
      <c r="AS81" s="1">
        <f t="shared" si="153"/>
        <v>339.3</v>
      </c>
      <c r="AT81" s="1">
        <f t="shared" si="154"/>
        <v>339.3</v>
      </c>
      <c r="AU81" s="2">
        <f t="shared" si="170"/>
        <v>0</v>
      </c>
      <c r="AV81" s="82">
        <f>IF(ISNA(VLOOKUP($CZ81,'Audit Values'!$A$2:$AC$360,2,FALSE)),"",IF(AND(Weightings!H81&gt;0,VLOOKUP($CZ81,'Audit Values'!$A$2:$AC$360,29,FALSE)&lt;Weightings!H81),Weightings!H81,VLOOKUP($CZ81,'Audit Values'!$A$2:$AC$360,29,FALSE)))</f>
        <v>8</v>
      </c>
      <c r="AW81" s="82" t="str">
        <f>IF(ISNA(VLOOKUP($CZ81,'Audit Values'!$A$2:$AD$360,2,FALSE)),"",VLOOKUP($CZ81,'Audit Values'!$A$2:$AD$360,30,FALSE))</f>
        <v>A</v>
      </c>
      <c r="AX81" s="82" t="str">
        <f>IF(Weightings!G81="","",IF(Weightings!I81="Pending","PX","R"))</f>
        <v>R</v>
      </c>
      <c r="AY81" s="114">
        <f>AR81*Weightings!$M$5+AU81</f>
        <v>1164065</v>
      </c>
      <c r="AZ81" s="2">
        <f>AT81*Weightings!$M$5+AU81</f>
        <v>1302233</v>
      </c>
      <c r="BA81" s="2">
        <f>IF(Weightings!G81&gt;0,Weightings!G81,'Preliminary SO66'!AB78)</f>
        <v>1359803</v>
      </c>
      <c r="BB81" s="2">
        <f t="shared" si="155"/>
        <v>1302233</v>
      </c>
      <c r="BC81" s="124"/>
      <c r="BD81" s="124">
        <f>Weightings!E81</f>
        <v>0</v>
      </c>
      <c r="BE81" s="124">
        <f>Weightings!F81</f>
        <v>0</v>
      </c>
      <c r="BF81" s="2">
        <f t="shared" si="156"/>
        <v>0</v>
      </c>
      <c r="BG81" s="2">
        <f t="shared" si="157"/>
        <v>1302233</v>
      </c>
      <c r="BH81" s="2">
        <f>MAX(ROUND(((AR81-AO81)*4433)+AP81,0),ROUND(((AR81-AO81)*4433)+Weightings!B81,0))</f>
        <v>1563139</v>
      </c>
      <c r="BI81" s="174">
        <v>0.3</v>
      </c>
      <c r="BJ81" s="2">
        <f t="shared" si="186"/>
        <v>468942</v>
      </c>
      <c r="BK81" s="173">
        <v>429976</v>
      </c>
      <c r="BL81" s="2">
        <f t="shared" si="158"/>
        <v>429976</v>
      </c>
      <c r="BM81" s="3">
        <f t="shared" si="171"/>
        <v>0.27510000000000001</v>
      </c>
      <c r="BN81" s="1">
        <f t="shared" si="159"/>
        <v>0</v>
      </c>
      <c r="BO81" s="4" t="b">
        <f t="shared" si="160"/>
        <v>1</v>
      </c>
      <c r="BP81" s="5">
        <f t="shared" si="161"/>
        <v>260.685</v>
      </c>
      <c r="BQ81" s="6">
        <f t="shared" si="140"/>
        <v>0.94276199999999999</v>
      </c>
      <c r="BR81" s="4">
        <f t="shared" si="162"/>
        <v>119.7</v>
      </c>
      <c r="BS81" s="4" t="b">
        <f t="shared" si="163"/>
        <v>0</v>
      </c>
      <c r="BT81" s="4">
        <f t="shared" si="164"/>
        <v>0</v>
      </c>
      <c r="BU81" s="6">
        <f t="shared" si="141"/>
        <v>0</v>
      </c>
      <c r="BV81" s="1">
        <f t="shared" si="165"/>
        <v>0</v>
      </c>
      <c r="BW81" s="1">
        <f t="shared" si="166"/>
        <v>0</v>
      </c>
      <c r="BX81" s="116">
        <v>248.6</v>
      </c>
      <c r="BY81" s="7">
        <f t="shared" si="172"/>
        <v>0.28999999999999998</v>
      </c>
      <c r="BZ81" s="7">
        <f>IF(ROUND((Weightings!$P$5*BY81^Weightings!$P$6*Weightings!$P$8 ),2)&lt;Weightings!$P$7,Weightings!$P$7,ROUND((Weightings!$P$5*BY81^Weightings!$P$6*Weightings!$P$8 ),2))</f>
        <v>1329.23</v>
      </c>
      <c r="CA81" s="8">
        <f>ROUND(BZ81/Weightings!$M$5,4)</f>
        <v>0.3463</v>
      </c>
      <c r="CB81" s="1">
        <f t="shared" si="173"/>
        <v>24.6</v>
      </c>
      <c r="CC81" s="173">
        <v>0</v>
      </c>
      <c r="CD81" s="173">
        <v>0</v>
      </c>
      <c r="CE81" s="173">
        <v>0</v>
      </c>
      <c r="CF81" s="177">
        <v>0</v>
      </c>
      <c r="CG81" s="2">
        <f>AS81*Weightings!$M$5*CF81</f>
        <v>0</v>
      </c>
      <c r="CH81" s="2">
        <f t="shared" si="174"/>
        <v>0</v>
      </c>
      <c r="CI81" s="117">
        <f t="shared" si="167"/>
        <v>0.433</v>
      </c>
      <c r="CJ81" s="4">
        <f t="shared" si="168"/>
        <v>0.5</v>
      </c>
      <c r="CK81" s="1">
        <f t="shared" si="175"/>
        <v>0</v>
      </c>
      <c r="CL81" s="1">
        <f t="shared" si="176"/>
        <v>0</v>
      </c>
      <c r="CM81" s="1">
        <f t="shared" si="177"/>
        <v>3.2</v>
      </c>
      <c r="CN81" s="1">
        <f>IF(ISNA(VLOOKUP($CZ81,'Audit Values'!$A$2:$AE$439,2,FALSE)),'Preliminary SO66'!T78,VLOOKUP($CZ81,'Audit Values'!$A$2:$AE$439,20,FALSE))</f>
        <v>0</v>
      </c>
      <c r="CO81" s="1">
        <f t="shared" si="182"/>
        <v>0</v>
      </c>
      <c r="CP81" s="183">
        <v>0</v>
      </c>
      <c r="CQ81" s="1">
        <f t="shared" si="183"/>
        <v>0</v>
      </c>
      <c r="CR81" s="2">
        <f>IF(ISNA(VLOOKUP($CZ81,'Audit Values'!$A$2:$AE$439,2,FALSE)),'Preliminary SO66'!V78,VLOOKUP($CZ81,'Audit Values'!$A$2:$AE$439,22,FALSE))</f>
        <v>0</v>
      </c>
      <c r="CS81" s="1">
        <f t="shared" si="184"/>
        <v>0</v>
      </c>
      <c r="CT81" s="2">
        <f>IF(ISNA(VLOOKUP($CZ81,'Audit Values'!$A$2:$AE$439,2,FALSE)),'Preliminary SO66'!W78,VLOOKUP($CZ81,'Audit Values'!$A$2:$AE$439,23,FALSE))</f>
        <v>0</v>
      </c>
      <c r="CU81" s="1">
        <f t="shared" si="138"/>
        <v>0</v>
      </c>
      <c r="CV81" s="1">
        <f t="shared" si="139"/>
        <v>0</v>
      </c>
      <c r="CW81" s="176">
        <v>0</v>
      </c>
      <c r="CX81" s="2">
        <f>IF(CW81&gt;0,Weightings!$M$11*AR81,0)</f>
        <v>0</v>
      </c>
      <c r="CY81" s="2">
        <f t="shared" si="178"/>
        <v>0</v>
      </c>
      <c r="CZ81" s="108" t="s">
        <v>373</v>
      </c>
    </row>
    <row r="82" spans="1:104">
      <c r="A82" s="82">
        <v>270</v>
      </c>
      <c r="B82" s="4" t="s">
        <v>37</v>
      </c>
      <c r="C82" s="4" t="s">
        <v>709</v>
      </c>
      <c r="D82" s="1">
        <v>372.4</v>
      </c>
      <c r="E82" s="1">
        <v>0</v>
      </c>
      <c r="F82" s="1">
        <f t="shared" si="135"/>
        <v>372.4</v>
      </c>
      <c r="G82" s="1">
        <v>375.4</v>
      </c>
      <c r="H82" s="1">
        <v>0</v>
      </c>
      <c r="I82" s="1">
        <f t="shared" si="142"/>
        <v>375.4</v>
      </c>
      <c r="J82" s="1">
        <f t="shared" si="143"/>
        <v>365.3</v>
      </c>
      <c r="K82" s="1">
        <f>IF(ISNA(VLOOKUP($CZ82,'Audit Values'!$A$2:$AE$439,2,FALSE)),'Preliminary SO66'!B79,VLOOKUP($CZ82,'Audit Values'!$A$2:$AE$439,31,FALSE))</f>
        <v>365.3</v>
      </c>
      <c r="L82" s="1">
        <f t="shared" si="144"/>
        <v>375.4</v>
      </c>
      <c r="M82" s="1">
        <f>IF(ISNA(VLOOKUP($CZ82,'Audit Values'!$A$2:$AE$439,2,FALSE)),'Preliminary SO66'!Z79,VLOOKUP($CZ82,'Audit Values'!$A$2:$AE$439,26,FALSE))</f>
        <v>0</v>
      </c>
      <c r="N82" s="1">
        <f t="shared" si="145"/>
        <v>375.4</v>
      </c>
      <c r="O82" s="1">
        <f>IF(ISNA(VLOOKUP($CZ82,'Audit Values'!$A$2:$AE$439,2,FALSE)),'Preliminary SO66'!C79,IF(VLOOKUP($CZ82,'Audit Values'!$A$2:$AE$439,28,FALSE)="",VLOOKUP($CZ82,'Audit Values'!$A$2:$AE$439,3,FALSE),VLOOKUP($CZ82,'Audit Values'!$A$2:$AE$439,28,FALSE)))</f>
        <v>0</v>
      </c>
      <c r="P82" s="109">
        <f t="shared" si="146"/>
        <v>365.3</v>
      </c>
      <c r="Q82" s="110">
        <f t="shared" si="147"/>
        <v>365.3</v>
      </c>
      <c r="R82" s="111">
        <f t="shared" si="148"/>
        <v>365.3</v>
      </c>
      <c r="S82" s="1">
        <f t="shared" si="149"/>
        <v>375.4</v>
      </c>
      <c r="T82" s="1">
        <f t="shared" si="185"/>
        <v>0</v>
      </c>
      <c r="U82" s="1">
        <f t="shared" si="150"/>
        <v>172.1</v>
      </c>
      <c r="V82" s="1">
        <f t="shared" si="179"/>
        <v>172.1</v>
      </c>
      <c r="W82" s="1">
        <f t="shared" si="180"/>
        <v>0</v>
      </c>
      <c r="X82" s="1">
        <f>IF(ISNA(VLOOKUP($CZ82,'Audit Values'!$A$2:$AE$439,2,FALSE)),'Preliminary SO66'!D79,VLOOKUP($CZ82,'Audit Values'!$A$2:$AE$439,4,FALSE))</f>
        <v>187.7</v>
      </c>
      <c r="Y82" s="1">
        <f>ROUND((X82/6)*Weightings!$M$6,1)</f>
        <v>15.6</v>
      </c>
      <c r="Z82" s="1">
        <f>IF(ISNA(VLOOKUP($CZ82,'Audit Values'!$A$2:$AE$439,2,FALSE)),'Preliminary SO66'!F79,VLOOKUP($CZ82,'Audit Values'!$A$2:$AE$439,6,FALSE))</f>
        <v>0</v>
      </c>
      <c r="AA82" s="1">
        <f>ROUND((Z82/6)*Weightings!$M$7,1)</f>
        <v>0</v>
      </c>
      <c r="AB82" s="2">
        <f>IF(ISNA(VLOOKUP($CZ82,'Audit Values'!$A$2:$AE$439,2,FALSE)),'Preliminary SO66'!H79,VLOOKUP($CZ82,'Audit Values'!$A$2:$AE$439,8,FALSE))</f>
        <v>113</v>
      </c>
      <c r="AC82" s="1">
        <f>ROUND(AB82*Weightings!$M$8,1)</f>
        <v>51.5</v>
      </c>
      <c r="AD82" s="1">
        <f t="shared" si="169"/>
        <v>0</v>
      </c>
      <c r="AE82" s="185">
        <v>45</v>
      </c>
      <c r="AF82" s="1">
        <f>AE82*Weightings!$M$9</f>
        <v>2.1</v>
      </c>
      <c r="AG82" s="1">
        <f>IF(ISNA(VLOOKUP($CZ82,'Audit Values'!$A$2:$AE$439,2,FALSE)),'Preliminary SO66'!L79,VLOOKUP($CZ82,'Audit Values'!$A$2:$AE$439,12,FALSE))</f>
        <v>0</v>
      </c>
      <c r="AH82" s="1">
        <f>ROUND(AG82*Weightings!$M$10,1)</f>
        <v>0</v>
      </c>
      <c r="AI82" s="1">
        <f>IF(ISNA(VLOOKUP($CZ82,'Audit Values'!$A$2:$AE$439,2,FALSE)),'Preliminary SO66'!O79,VLOOKUP($CZ82,'Audit Values'!$A$2:$AE$439,15,FALSE))</f>
        <v>34</v>
      </c>
      <c r="AJ82" s="1">
        <f t="shared" si="151"/>
        <v>14.4</v>
      </c>
      <c r="AK82" s="1">
        <f>CC82/Weightings!$M$5</f>
        <v>0</v>
      </c>
      <c r="AL82" s="1">
        <f>CD82/Weightings!$M$5</f>
        <v>0</v>
      </c>
      <c r="AM82" s="1">
        <f>CH82/Weightings!$M$5</f>
        <v>0</v>
      </c>
      <c r="AN82" s="1">
        <f t="shared" si="181"/>
        <v>0</v>
      </c>
      <c r="AO82" s="1">
        <f>IF(ISNA(VLOOKUP($CZ82,'Audit Values'!$A$2:$AE$439,2,FALSE)),'Preliminary SO66'!X79,VLOOKUP($CZ82,'Audit Values'!$A$2:$AE$439,24,FALSE))</f>
        <v>0</v>
      </c>
      <c r="AP82" s="188">
        <v>455394</v>
      </c>
      <c r="AQ82" s="113">
        <f>AP82/Weightings!$M$5</f>
        <v>118.7</v>
      </c>
      <c r="AR82" s="113">
        <f t="shared" si="152"/>
        <v>631.1</v>
      </c>
      <c r="AS82" s="1">
        <f t="shared" si="153"/>
        <v>749.8</v>
      </c>
      <c r="AT82" s="1">
        <f t="shared" si="154"/>
        <v>749.8</v>
      </c>
      <c r="AU82" s="2">
        <f t="shared" si="170"/>
        <v>0</v>
      </c>
      <c r="AV82" s="82">
        <f>IF(ISNA(VLOOKUP($CZ82,'Audit Values'!$A$2:$AC$360,2,FALSE)),"",IF(AND(Weightings!H82&gt;0,VLOOKUP($CZ82,'Audit Values'!$A$2:$AC$360,29,FALSE)&lt;Weightings!H82),Weightings!H82,VLOOKUP($CZ82,'Audit Values'!$A$2:$AC$360,29,FALSE)))</f>
        <v>10</v>
      </c>
      <c r="AW82" s="82" t="str">
        <f>IF(ISNA(VLOOKUP($CZ82,'Audit Values'!$A$2:$AD$360,2,FALSE)),"",VLOOKUP($CZ82,'Audit Values'!$A$2:$AD$360,30,FALSE))</f>
        <v>A</v>
      </c>
      <c r="AX82" s="82" t="str">
        <f>IF(Weightings!G82="","",IF(Weightings!I82="Pending","PX","R"))</f>
        <v/>
      </c>
      <c r="AY82" s="114">
        <f>AR82*Weightings!$M$5+AU82</f>
        <v>2422162</v>
      </c>
      <c r="AZ82" s="2">
        <f>AT82*Weightings!$M$5+AU82</f>
        <v>2877732</v>
      </c>
      <c r="BA82" s="2">
        <f>IF(Weightings!G82&gt;0,Weightings!G82,'Preliminary SO66'!AB79)</f>
        <v>2942978</v>
      </c>
      <c r="BB82" s="2">
        <f t="shared" si="155"/>
        <v>2877732</v>
      </c>
      <c r="BC82" s="124"/>
      <c r="BD82" s="124">
        <f>Weightings!E82</f>
        <v>-1491</v>
      </c>
      <c r="BE82" s="124">
        <f>Weightings!F82</f>
        <v>0</v>
      </c>
      <c r="BF82" s="2">
        <f t="shared" si="156"/>
        <v>-1491</v>
      </c>
      <c r="BG82" s="2">
        <f t="shared" si="157"/>
        <v>2876241</v>
      </c>
      <c r="BH82" s="2">
        <f>MAX(ROUND(((AR82-AO82)*4433)+AP82,0),ROUND(((AR82-AO82)*4433)+Weightings!B82,0))</f>
        <v>3253060</v>
      </c>
      <c r="BI82" s="174">
        <v>0.3</v>
      </c>
      <c r="BJ82" s="2">
        <f t="shared" si="186"/>
        <v>975918</v>
      </c>
      <c r="BK82" s="173">
        <v>995311</v>
      </c>
      <c r="BL82" s="2">
        <f t="shared" si="158"/>
        <v>975918</v>
      </c>
      <c r="BM82" s="3">
        <f t="shared" si="171"/>
        <v>0.3</v>
      </c>
      <c r="BN82" s="1">
        <f t="shared" si="159"/>
        <v>0</v>
      </c>
      <c r="BO82" s="4" t="b">
        <f t="shared" si="160"/>
        <v>0</v>
      </c>
      <c r="BP82" s="5">
        <f t="shared" si="161"/>
        <v>0</v>
      </c>
      <c r="BQ82" s="6">
        <f t="shared" si="140"/>
        <v>0</v>
      </c>
      <c r="BR82" s="4">
        <f t="shared" si="162"/>
        <v>0</v>
      </c>
      <c r="BS82" s="4" t="b">
        <f t="shared" si="163"/>
        <v>1</v>
      </c>
      <c r="BT82" s="4">
        <f t="shared" si="164"/>
        <v>93.307500000000005</v>
      </c>
      <c r="BU82" s="6">
        <f t="shared" si="141"/>
        <v>0.458569</v>
      </c>
      <c r="BV82" s="1">
        <f t="shared" si="165"/>
        <v>172.1</v>
      </c>
      <c r="BW82" s="1">
        <f t="shared" si="166"/>
        <v>0</v>
      </c>
      <c r="BX82" s="116">
        <v>275.8</v>
      </c>
      <c r="BY82" s="7">
        <f t="shared" si="172"/>
        <v>0.12</v>
      </c>
      <c r="BZ82" s="7">
        <f>IF(ROUND((Weightings!$P$5*BY82^Weightings!$P$6*Weightings!$P$8 ),2)&lt;Weightings!$P$7,Weightings!$P$7,ROUND((Weightings!$P$5*BY82^Weightings!$P$6*Weightings!$P$8 ),2))</f>
        <v>1625.6</v>
      </c>
      <c r="CA82" s="8">
        <f>ROUND(BZ82/Weightings!$M$5,4)</f>
        <v>0.42359999999999998</v>
      </c>
      <c r="CB82" s="1">
        <f t="shared" si="173"/>
        <v>14.4</v>
      </c>
      <c r="CC82" s="173">
        <v>0</v>
      </c>
      <c r="CD82" s="173">
        <v>0</v>
      </c>
      <c r="CE82" s="173">
        <v>0</v>
      </c>
      <c r="CF82" s="177">
        <v>0</v>
      </c>
      <c r="CG82" s="2">
        <f>AS82*Weightings!$M$5*CF82</f>
        <v>0</v>
      </c>
      <c r="CH82" s="2">
        <f t="shared" si="174"/>
        <v>0</v>
      </c>
      <c r="CI82" s="117">
        <f t="shared" si="167"/>
        <v>0.30099999999999999</v>
      </c>
      <c r="CJ82" s="4">
        <f t="shared" si="168"/>
        <v>1.4</v>
      </c>
      <c r="CK82" s="1">
        <f t="shared" si="175"/>
        <v>0</v>
      </c>
      <c r="CL82" s="1">
        <f t="shared" si="176"/>
        <v>0</v>
      </c>
      <c r="CM82" s="1">
        <f t="shared" si="177"/>
        <v>0</v>
      </c>
      <c r="CN82" s="1">
        <f>IF(ISNA(VLOOKUP($CZ82,'Audit Values'!$A$2:$AE$439,2,FALSE)),'Preliminary SO66'!T79,VLOOKUP($CZ82,'Audit Values'!$A$2:$AE$439,20,FALSE))</f>
        <v>0</v>
      </c>
      <c r="CO82" s="1">
        <f t="shared" si="182"/>
        <v>0</v>
      </c>
      <c r="CP82" s="183">
        <v>0</v>
      </c>
      <c r="CQ82" s="1">
        <f t="shared" si="183"/>
        <v>0</v>
      </c>
      <c r="CR82" s="2">
        <f>IF(ISNA(VLOOKUP($CZ82,'Audit Values'!$A$2:$AE$439,2,FALSE)),'Preliminary SO66'!V79,VLOOKUP($CZ82,'Audit Values'!$A$2:$AE$439,22,FALSE))</f>
        <v>0</v>
      </c>
      <c r="CS82" s="1">
        <f t="shared" si="184"/>
        <v>0</v>
      </c>
      <c r="CT82" s="2">
        <f>IF(ISNA(VLOOKUP($CZ82,'Audit Values'!$A$2:$AE$439,2,FALSE)),'Preliminary SO66'!W79,VLOOKUP($CZ82,'Audit Values'!$A$2:$AE$439,23,FALSE))</f>
        <v>0</v>
      </c>
      <c r="CU82" s="1">
        <f t="shared" si="138"/>
        <v>0</v>
      </c>
      <c r="CV82" s="1">
        <f t="shared" si="139"/>
        <v>0</v>
      </c>
      <c r="CW82" s="176">
        <v>0</v>
      </c>
      <c r="CX82" s="2">
        <f>IF(CW82&gt;0,Weightings!$M$11*AR82,0)</f>
        <v>0</v>
      </c>
      <c r="CY82" s="2">
        <f t="shared" si="178"/>
        <v>0</v>
      </c>
      <c r="CZ82" s="108" t="s">
        <v>374</v>
      </c>
    </row>
    <row r="83" spans="1:104">
      <c r="A83" s="82">
        <v>271</v>
      </c>
      <c r="B83" s="4" t="s">
        <v>37</v>
      </c>
      <c r="C83" s="4" t="s">
        <v>710</v>
      </c>
      <c r="D83" s="1">
        <v>273.10000000000002</v>
      </c>
      <c r="E83" s="1">
        <v>0</v>
      </c>
      <c r="F83" s="1">
        <f t="shared" ref="F83:F146" si="187">D83+E83</f>
        <v>273.10000000000002</v>
      </c>
      <c r="G83" s="1">
        <v>272.60000000000002</v>
      </c>
      <c r="H83" s="1">
        <v>0</v>
      </c>
      <c r="I83" s="1">
        <f t="shared" si="142"/>
        <v>272.60000000000002</v>
      </c>
      <c r="J83" s="1">
        <f t="shared" si="143"/>
        <v>290.10000000000002</v>
      </c>
      <c r="K83" s="1">
        <f>IF(ISNA(VLOOKUP($CZ83,'Audit Values'!$A$2:$AE$439,2,FALSE)),'Preliminary SO66'!B80,VLOOKUP($CZ83,'Audit Values'!$A$2:$AE$439,31,FALSE))</f>
        <v>290.10000000000002</v>
      </c>
      <c r="L83" s="1">
        <f t="shared" si="144"/>
        <v>290.10000000000002</v>
      </c>
      <c r="M83" s="1">
        <f>IF(ISNA(VLOOKUP($CZ83,'Audit Values'!$A$2:$AE$439,2,FALSE)),'Preliminary SO66'!Z80,VLOOKUP($CZ83,'Audit Values'!$A$2:$AE$439,26,FALSE))</f>
        <v>0</v>
      </c>
      <c r="N83" s="1">
        <f t="shared" si="145"/>
        <v>290.10000000000002</v>
      </c>
      <c r="O83" s="1">
        <f>IF(ISNA(VLOOKUP($CZ83,'Audit Values'!$A$2:$AE$439,2,FALSE)),'Preliminary SO66'!C80,IF(VLOOKUP($CZ83,'Audit Values'!$A$2:$AE$439,28,FALSE)="",VLOOKUP($CZ83,'Audit Values'!$A$2:$AE$439,3,FALSE),VLOOKUP($CZ83,'Audit Values'!$A$2:$AE$439,28,FALSE)))</f>
        <v>3</v>
      </c>
      <c r="P83" s="109">
        <f t="shared" si="146"/>
        <v>293.10000000000002</v>
      </c>
      <c r="Q83" s="110">
        <f t="shared" si="147"/>
        <v>293.10000000000002</v>
      </c>
      <c r="R83" s="111">
        <f t="shared" si="148"/>
        <v>293.10000000000002</v>
      </c>
      <c r="S83" s="1">
        <f t="shared" si="149"/>
        <v>293.10000000000002</v>
      </c>
      <c r="T83" s="1">
        <f t="shared" si="185"/>
        <v>0</v>
      </c>
      <c r="U83" s="1">
        <f t="shared" si="150"/>
        <v>147.30000000000001</v>
      </c>
      <c r="V83" s="1">
        <f t="shared" si="179"/>
        <v>147.30000000000001</v>
      </c>
      <c r="W83" s="1">
        <f t="shared" si="180"/>
        <v>0</v>
      </c>
      <c r="X83" s="1">
        <f>IF(ISNA(VLOOKUP($CZ83,'Audit Values'!$A$2:$AE$439,2,FALSE)),'Preliminary SO66'!D80,VLOOKUP($CZ83,'Audit Values'!$A$2:$AE$439,4,FALSE))</f>
        <v>79.3</v>
      </c>
      <c r="Y83" s="1">
        <f>ROUND((X83/6)*Weightings!$M$6,1)</f>
        <v>6.6</v>
      </c>
      <c r="Z83" s="1">
        <f>IF(ISNA(VLOOKUP($CZ83,'Audit Values'!$A$2:$AE$439,2,FALSE)),'Preliminary SO66'!F80,VLOOKUP($CZ83,'Audit Values'!$A$2:$AE$439,6,FALSE))</f>
        <v>0</v>
      </c>
      <c r="AA83" s="1">
        <f>ROUND((Z83/6)*Weightings!$M$7,1)</f>
        <v>0</v>
      </c>
      <c r="AB83" s="2">
        <f>IF(ISNA(VLOOKUP($CZ83,'Audit Values'!$A$2:$AE$439,2,FALSE)),'Preliminary SO66'!H80,VLOOKUP($CZ83,'Audit Values'!$A$2:$AE$439,8,FALSE))</f>
        <v>125</v>
      </c>
      <c r="AC83" s="1">
        <f>ROUND(AB83*Weightings!$M$8,1)</f>
        <v>57</v>
      </c>
      <c r="AD83" s="1">
        <f t="shared" si="169"/>
        <v>6.7</v>
      </c>
      <c r="AE83" s="185">
        <v>26</v>
      </c>
      <c r="AF83" s="1">
        <f>AE83*Weightings!$M$9</f>
        <v>1.2</v>
      </c>
      <c r="AG83" s="1">
        <f>IF(ISNA(VLOOKUP($CZ83,'Audit Values'!$A$2:$AE$439,2,FALSE)),'Preliminary SO66'!L80,VLOOKUP($CZ83,'Audit Values'!$A$2:$AE$439,12,FALSE))</f>
        <v>0</v>
      </c>
      <c r="AH83" s="1">
        <f>ROUND(AG83*Weightings!$M$10,1)</f>
        <v>0</v>
      </c>
      <c r="AI83" s="1">
        <f>IF(ISNA(VLOOKUP($CZ83,'Audit Values'!$A$2:$AE$439,2,FALSE)),'Preliminary SO66'!O80,VLOOKUP($CZ83,'Audit Values'!$A$2:$AE$439,15,FALSE))</f>
        <v>60</v>
      </c>
      <c r="AJ83" s="1">
        <f t="shared" si="151"/>
        <v>25</v>
      </c>
      <c r="AK83" s="1">
        <f>CC83/Weightings!$M$5</f>
        <v>0</v>
      </c>
      <c r="AL83" s="1">
        <f>CD83/Weightings!$M$5</f>
        <v>0</v>
      </c>
      <c r="AM83" s="1">
        <f>CH83/Weightings!$M$5</f>
        <v>0</v>
      </c>
      <c r="AN83" s="1">
        <f t="shared" si="181"/>
        <v>0</v>
      </c>
      <c r="AO83" s="1">
        <f>IF(ISNA(VLOOKUP($CZ83,'Audit Values'!$A$2:$AE$439,2,FALSE)),'Preliminary SO66'!X80,VLOOKUP($CZ83,'Audit Values'!$A$2:$AE$439,24,FALSE))</f>
        <v>0</v>
      </c>
      <c r="AP83" s="188">
        <v>340906</v>
      </c>
      <c r="AQ83" s="113">
        <f>AP83/Weightings!$M$5</f>
        <v>88.8</v>
      </c>
      <c r="AR83" s="113">
        <f t="shared" si="152"/>
        <v>536.9</v>
      </c>
      <c r="AS83" s="1">
        <f t="shared" si="153"/>
        <v>625.70000000000005</v>
      </c>
      <c r="AT83" s="1">
        <f t="shared" si="154"/>
        <v>625.70000000000005</v>
      </c>
      <c r="AU83" s="2">
        <f t="shared" si="170"/>
        <v>0</v>
      </c>
      <c r="AV83" s="82">
        <f>IF(ISNA(VLOOKUP($CZ83,'Audit Values'!$A$2:$AC$360,2,FALSE)),"",IF(AND(Weightings!H83&gt;0,VLOOKUP($CZ83,'Audit Values'!$A$2:$AC$360,29,FALSE)&lt;Weightings!H83),Weightings!H83,VLOOKUP($CZ83,'Audit Values'!$A$2:$AC$360,29,FALSE)))</f>
        <v>8</v>
      </c>
      <c r="AW83" s="82" t="str">
        <f>IF(ISNA(VLOOKUP($CZ83,'Audit Values'!$A$2:$AD$360,2,FALSE)),"",VLOOKUP($CZ83,'Audit Values'!$A$2:$AD$360,30,FALSE))</f>
        <v>A</v>
      </c>
      <c r="AX83" s="82" t="str">
        <f>IF(Weightings!G83="","",IF(Weightings!I83="Pending","PX","R"))</f>
        <v>R</v>
      </c>
      <c r="AY83" s="114">
        <f>AR83*Weightings!$M$5+AU83</f>
        <v>2060622</v>
      </c>
      <c r="AZ83" s="2">
        <f>AT83*Weightings!$M$5+AU83</f>
        <v>2401437</v>
      </c>
      <c r="BA83" s="2">
        <f>IF(Weightings!G83&gt;0,Weightings!G83,'Preliminary SO66'!AB80)</f>
        <v>2423313</v>
      </c>
      <c r="BB83" s="2">
        <f t="shared" si="155"/>
        <v>2401437</v>
      </c>
      <c r="BC83" s="124"/>
      <c r="BD83" s="124">
        <f>Weightings!E83</f>
        <v>0</v>
      </c>
      <c r="BE83" s="124">
        <f>Weightings!F83</f>
        <v>0</v>
      </c>
      <c r="BF83" s="2">
        <f t="shared" si="156"/>
        <v>0</v>
      </c>
      <c r="BG83" s="2">
        <f t="shared" si="157"/>
        <v>2401437</v>
      </c>
      <c r="BH83" s="2">
        <f>MAX(ROUND(((AR83-AO83)*4433)+AP83,0),ROUND(((AR83-AO83)*4433)+Weightings!B83,0))</f>
        <v>2752503</v>
      </c>
      <c r="BI83" s="174">
        <v>0.3</v>
      </c>
      <c r="BJ83" s="2">
        <f t="shared" si="186"/>
        <v>825751</v>
      </c>
      <c r="BK83" s="173">
        <v>801813</v>
      </c>
      <c r="BL83" s="2">
        <f t="shared" si="158"/>
        <v>801813</v>
      </c>
      <c r="BM83" s="3">
        <f t="shared" si="171"/>
        <v>0.2913</v>
      </c>
      <c r="BN83" s="1">
        <f t="shared" si="159"/>
        <v>0</v>
      </c>
      <c r="BO83" s="4" t="b">
        <f t="shared" si="160"/>
        <v>1</v>
      </c>
      <c r="BP83" s="5">
        <f t="shared" si="161"/>
        <v>1864.3810000000001</v>
      </c>
      <c r="BQ83" s="6">
        <f t="shared" si="140"/>
        <v>0.50247600000000003</v>
      </c>
      <c r="BR83" s="4">
        <f t="shared" si="162"/>
        <v>147.30000000000001</v>
      </c>
      <c r="BS83" s="4" t="b">
        <f t="shared" si="163"/>
        <v>0</v>
      </c>
      <c r="BT83" s="4">
        <f t="shared" si="164"/>
        <v>0</v>
      </c>
      <c r="BU83" s="6">
        <f t="shared" si="141"/>
        <v>0</v>
      </c>
      <c r="BV83" s="1">
        <f t="shared" si="165"/>
        <v>0</v>
      </c>
      <c r="BW83" s="1">
        <f t="shared" si="166"/>
        <v>0</v>
      </c>
      <c r="BX83" s="116">
        <v>444.8</v>
      </c>
      <c r="BY83" s="7">
        <f t="shared" si="172"/>
        <v>0.13</v>
      </c>
      <c r="BZ83" s="7">
        <f>IF(ROUND((Weightings!$P$5*BY83^Weightings!$P$6*Weightings!$P$8 ),2)&lt;Weightings!$P$7,Weightings!$P$7,ROUND((Weightings!$P$5*BY83^Weightings!$P$6*Weightings!$P$8 ),2))</f>
        <v>1596.19</v>
      </c>
      <c r="CA83" s="8">
        <f>ROUND(BZ83/Weightings!$M$5,4)</f>
        <v>0.41589999999999999</v>
      </c>
      <c r="CB83" s="1">
        <f t="shared" si="173"/>
        <v>25</v>
      </c>
      <c r="CC83" s="173">
        <v>0</v>
      </c>
      <c r="CD83" s="173">
        <v>0</v>
      </c>
      <c r="CE83" s="173">
        <v>0</v>
      </c>
      <c r="CF83" s="177">
        <v>0</v>
      </c>
      <c r="CG83" s="2">
        <f>AS83*Weightings!$M$5*CF83</f>
        <v>0</v>
      </c>
      <c r="CH83" s="2">
        <f t="shared" si="174"/>
        <v>0</v>
      </c>
      <c r="CI83" s="117">
        <f t="shared" si="167"/>
        <v>0.42599999999999999</v>
      </c>
      <c r="CJ83" s="4">
        <f t="shared" si="168"/>
        <v>0.7</v>
      </c>
      <c r="CK83" s="1">
        <f t="shared" si="175"/>
        <v>0</v>
      </c>
      <c r="CL83" s="1">
        <f t="shared" si="176"/>
        <v>0</v>
      </c>
      <c r="CM83" s="1">
        <f t="shared" si="177"/>
        <v>6.7</v>
      </c>
      <c r="CN83" s="1">
        <f>IF(ISNA(VLOOKUP($CZ83,'Audit Values'!$A$2:$AE$439,2,FALSE)),'Preliminary SO66'!T80,VLOOKUP($CZ83,'Audit Values'!$A$2:$AE$439,20,FALSE))</f>
        <v>0</v>
      </c>
      <c r="CO83" s="1">
        <f t="shared" si="182"/>
        <v>0</v>
      </c>
      <c r="CP83" s="183">
        <v>0</v>
      </c>
      <c r="CQ83" s="1">
        <f t="shared" si="183"/>
        <v>0</v>
      </c>
      <c r="CR83" s="2">
        <f>IF(ISNA(VLOOKUP($CZ83,'Audit Values'!$A$2:$AE$439,2,FALSE)),'Preliminary SO66'!V80,VLOOKUP($CZ83,'Audit Values'!$A$2:$AE$439,22,FALSE))</f>
        <v>0</v>
      </c>
      <c r="CS83" s="1">
        <f t="shared" si="184"/>
        <v>0</v>
      </c>
      <c r="CT83" s="2">
        <f>IF(ISNA(VLOOKUP($CZ83,'Audit Values'!$A$2:$AE$439,2,FALSE)),'Preliminary SO66'!W80,VLOOKUP($CZ83,'Audit Values'!$A$2:$AE$439,23,FALSE))</f>
        <v>0</v>
      </c>
      <c r="CU83" s="1">
        <f t="shared" si="138"/>
        <v>0</v>
      </c>
      <c r="CV83" s="1">
        <f t="shared" si="139"/>
        <v>0</v>
      </c>
      <c r="CW83" s="176">
        <v>0</v>
      </c>
      <c r="CX83" s="2">
        <f>IF(CW83&gt;0,Weightings!$M$11*AR83,0)</f>
        <v>0</v>
      </c>
      <c r="CY83" s="2">
        <f t="shared" si="178"/>
        <v>0</v>
      </c>
      <c r="CZ83" s="108" t="s">
        <v>375</v>
      </c>
    </row>
    <row r="84" spans="1:104">
      <c r="A84" s="82">
        <v>272</v>
      </c>
      <c r="B84" s="4" t="s">
        <v>38</v>
      </c>
      <c r="C84" s="4" t="s">
        <v>711</v>
      </c>
      <c r="D84" s="1">
        <v>319.7</v>
      </c>
      <c r="E84" s="1">
        <v>0</v>
      </c>
      <c r="F84" s="1">
        <f t="shared" si="187"/>
        <v>319.7</v>
      </c>
      <c r="G84" s="1">
        <v>316.3</v>
      </c>
      <c r="H84" s="1">
        <v>0</v>
      </c>
      <c r="I84" s="1">
        <f t="shared" si="142"/>
        <v>316.3</v>
      </c>
      <c r="J84" s="1">
        <f t="shared" si="143"/>
        <v>302.8</v>
      </c>
      <c r="K84" s="1">
        <f>IF(ISNA(VLOOKUP($CZ84,'Audit Values'!$A$2:$AE$439,2,FALSE)),'Preliminary SO66'!B81,VLOOKUP($CZ84,'Audit Values'!$A$2:$AE$439,31,FALSE))</f>
        <v>302.8</v>
      </c>
      <c r="L84" s="1">
        <f t="shared" si="144"/>
        <v>316.3</v>
      </c>
      <c r="M84" s="1">
        <f>IF(ISNA(VLOOKUP($CZ84,'Audit Values'!$A$2:$AE$439,2,FALSE)),'Preliminary SO66'!Z81,VLOOKUP($CZ84,'Audit Values'!$A$2:$AE$439,26,FALSE))</f>
        <v>0</v>
      </c>
      <c r="N84" s="1">
        <f t="shared" si="145"/>
        <v>316.3</v>
      </c>
      <c r="O84" s="1">
        <f>IF(ISNA(VLOOKUP($CZ84,'Audit Values'!$A$2:$AE$439,2,FALSE)),'Preliminary SO66'!C81,IF(VLOOKUP($CZ84,'Audit Values'!$A$2:$AE$439,28,FALSE)="",VLOOKUP($CZ84,'Audit Values'!$A$2:$AE$439,3,FALSE),VLOOKUP($CZ84,'Audit Values'!$A$2:$AE$439,28,FALSE)))</f>
        <v>6.5</v>
      </c>
      <c r="P84" s="109">
        <f t="shared" si="146"/>
        <v>309.3</v>
      </c>
      <c r="Q84" s="110">
        <f t="shared" si="147"/>
        <v>309.3</v>
      </c>
      <c r="R84" s="111">
        <f t="shared" si="148"/>
        <v>309.3</v>
      </c>
      <c r="S84" s="1">
        <f t="shared" si="149"/>
        <v>322.8</v>
      </c>
      <c r="T84" s="1">
        <f t="shared" si="185"/>
        <v>0</v>
      </c>
      <c r="U84" s="1">
        <f t="shared" si="150"/>
        <v>153.80000000000001</v>
      </c>
      <c r="V84" s="1">
        <f>MAX(BN84,BR84,BV84)</f>
        <v>153.80000000000001</v>
      </c>
      <c r="W84" s="1">
        <f t="shared" si="180"/>
        <v>0</v>
      </c>
      <c r="X84" s="1">
        <f>IF(ISNA(VLOOKUP($CZ84,'Audit Values'!$A$2:$AE$439,2,FALSE)),'Preliminary SO66'!D81,VLOOKUP($CZ84,'Audit Values'!$A$2:$AE$439,4,FALSE))</f>
        <v>110.6</v>
      </c>
      <c r="Y84" s="1">
        <f>ROUND((X84/6)*Weightings!$M$6,1)</f>
        <v>9.1999999999999993</v>
      </c>
      <c r="Z84" s="1">
        <f>IF(ISNA(VLOOKUP($CZ84,'Audit Values'!$A$2:$AE$439,2,FALSE)),'Preliminary SO66'!F81,VLOOKUP($CZ84,'Audit Values'!$A$2:$AE$439,6,FALSE))</f>
        <v>0</v>
      </c>
      <c r="AA84" s="1">
        <f>ROUND((Z84/6)*Weightings!$M$7,1)</f>
        <v>0</v>
      </c>
      <c r="AB84" s="2">
        <f>IF(ISNA(VLOOKUP($CZ84,'Audit Values'!$A$2:$AE$439,2,FALSE)),'Preliminary SO66'!H81,VLOOKUP($CZ84,'Audit Values'!$A$2:$AE$439,8,FALSE))</f>
        <v>121</v>
      </c>
      <c r="AC84" s="1">
        <f>ROUND(AB84*Weightings!$M$8,1)</f>
        <v>55.2</v>
      </c>
      <c r="AD84" s="1">
        <f t="shared" si="169"/>
        <v>2.1</v>
      </c>
      <c r="AE84" s="185">
        <v>8</v>
      </c>
      <c r="AF84" s="1">
        <f>AE84*Weightings!$M$9</f>
        <v>0.4</v>
      </c>
      <c r="AG84" s="1">
        <f>IF(ISNA(VLOOKUP($CZ84,'Audit Values'!$A$2:$AE$439,2,FALSE)),'Preliminary SO66'!L81,VLOOKUP($CZ84,'Audit Values'!$A$2:$AE$439,12,FALSE))</f>
        <v>0</v>
      </c>
      <c r="AH84" s="1">
        <f>ROUND(AG84*Weightings!$M$10,1)</f>
        <v>0</v>
      </c>
      <c r="AI84" s="1">
        <f>IF(ISNA(VLOOKUP($CZ84,'Audit Values'!$A$2:$AE$439,2,FALSE)),'Preliminary SO66'!O81,VLOOKUP($CZ84,'Audit Values'!$A$2:$AE$439,15,FALSE))</f>
        <v>133.5</v>
      </c>
      <c r="AJ84" s="1">
        <f t="shared" si="151"/>
        <v>45.2</v>
      </c>
      <c r="AK84" s="1">
        <f>CC84/Weightings!$M$5</f>
        <v>0</v>
      </c>
      <c r="AL84" s="1">
        <f>CD84/Weightings!$M$5</f>
        <v>0</v>
      </c>
      <c r="AM84" s="1">
        <f>CH84/Weightings!$M$5</f>
        <v>0</v>
      </c>
      <c r="AN84" s="1">
        <f t="shared" si="181"/>
        <v>0</v>
      </c>
      <c r="AO84" s="1">
        <f>IF(ISNA(VLOOKUP($CZ84,'Audit Values'!$A$2:$AE$439,2,FALSE)),'Preliminary SO66'!X81,VLOOKUP($CZ84,'Audit Values'!$A$2:$AE$439,24,FALSE))</f>
        <v>0</v>
      </c>
      <c r="AP84" s="188">
        <v>384038</v>
      </c>
      <c r="AQ84" s="113">
        <f>AP84/Weightings!$M$5</f>
        <v>100.1</v>
      </c>
      <c r="AR84" s="113">
        <f t="shared" si="152"/>
        <v>588.70000000000005</v>
      </c>
      <c r="AS84" s="1">
        <f t="shared" si="153"/>
        <v>688.8</v>
      </c>
      <c r="AT84" s="1">
        <f t="shared" si="154"/>
        <v>688.8</v>
      </c>
      <c r="AU84" s="2">
        <f t="shared" si="170"/>
        <v>13000</v>
      </c>
      <c r="AV84" s="82">
        <f>IF(ISNA(VLOOKUP($CZ84,'Audit Values'!$A$2:$AC$360,2,FALSE)),"",IF(AND(Weightings!H84&gt;0,VLOOKUP($CZ84,'Audit Values'!$A$2:$AC$360,29,FALSE)&lt;Weightings!H84),Weightings!H84,VLOOKUP($CZ84,'Audit Values'!$A$2:$AC$360,29,FALSE)))</f>
        <v>26</v>
      </c>
      <c r="AW84" s="82" t="str">
        <f>IF(ISNA(VLOOKUP($CZ84,'Audit Values'!$A$2:$AD$360,2,FALSE)),"",VLOOKUP($CZ84,'Audit Values'!$A$2:$AD$360,30,FALSE))</f>
        <v>A</v>
      </c>
      <c r="AX84" s="82" t="str">
        <f>IF(Weightings!G84="","",IF(Weightings!I84="Pending","PX","R"))</f>
        <v/>
      </c>
      <c r="AY84" s="114">
        <f>AR84*Weightings!$M$5+AU84</f>
        <v>2272431</v>
      </c>
      <c r="AZ84" s="2">
        <f>AT84*Weightings!$M$5+AU84</f>
        <v>2656614</v>
      </c>
      <c r="BA84" s="2">
        <f>IF(Weightings!G84&gt;0,Weightings!G84,'Preliminary SO66'!AB81)</f>
        <v>2830141</v>
      </c>
      <c r="BB84" s="2">
        <f t="shared" si="155"/>
        <v>2656614</v>
      </c>
      <c r="BC84" s="124"/>
      <c r="BD84" s="124">
        <f>Weightings!E84</f>
        <v>0</v>
      </c>
      <c r="BE84" s="124">
        <f>Weightings!F84</f>
        <v>0</v>
      </c>
      <c r="BF84" s="2">
        <f t="shared" si="156"/>
        <v>0</v>
      </c>
      <c r="BG84" s="2">
        <f t="shared" si="157"/>
        <v>2656614</v>
      </c>
      <c r="BH84" s="2">
        <f>MAX(ROUND(((AR84-AO84)*4433)+AP84,0),ROUND(((AR84-AO84)*4433)+Weightings!B84,0))</f>
        <v>2993745</v>
      </c>
      <c r="BI84" s="174">
        <v>0.3</v>
      </c>
      <c r="BJ84" s="2">
        <f t="shared" si="186"/>
        <v>898124</v>
      </c>
      <c r="BK84" s="173">
        <v>957749</v>
      </c>
      <c r="BL84" s="2">
        <f t="shared" si="158"/>
        <v>898124</v>
      </c>
      <c r="BM84" s="3">
        <f t="shared" si="171"/>
        <v>0.3</v>
      </c>
      <c r="BN84" s="1">
        <f t="shared" si="159"/>
        <v>0</v>
      </c>
      <c r="BO84" s="4" t="b">
        <f t="shared" si="160"/>
        <v>0</v>
      </c>
      <c r="BP84" s="5">
        <f t="shared" si="161"/>
        <v>0</v>
      </c>
      <c r="BQ84" s="6">
        <f t="shared" si="140"/>
        <v>0</v>
      </c>
      <c r="BR84" s="4">
        <f t="shared" si="162"/>
        <v>0</v>
      </c>
      <c r="BS84" s="4" t="b">
        <f t="shared" si="163"/>
        <v>1</v>
      </c>
      <c r="BT84" s="4">
        <f t="shared" si="164"/>
        <v>28.215</v>
      </c>
      <c r="BU84" s="6">
        <f t="shared" si="141"/>
        <v>0.47643999999999997</v>
      </c>
      <c r="BV84" s="1">
        <f t="shared" si="165"/>
        <v>153.80000000000001</v>
      </c>
      <c r="BW84" s="1">
        <f t="shared" si="166"/>
        <v>0</v>
      </c>
      <c r="BX84" s="116">
        <v>411.3</v>
      </c>
      <c r="BY84" s="7">
        <f t="shared" si="172"/>
        <v>0.32</v>
      </c>
      <c r="BZ84" s="7">
        <f>IF(ROUND((Weightings!$P$5*BY84^Weightings!$P$6*Weightings!$P$8 ),2)&lt;Weightings!$P$7,Weightings!$P$7,ROUND((Weightings!$P$5*BY84^Weightings!$P$6*Weightings!$P$8 ),2))</f>
        <v>1299.72</v>
      </c>
      <c r="CA84" s="8">
        <f>ROUND(BZ84/Weightings!$M$5,4)</f>
        <v>0.33860000000000001</v>
      </c>
      <c r="CB84" s="1">
        <f t="shared" si="173"/>
        <v>45.2</v>
      </c>
      <c r="CC84" s="173">
        <v>0</v>
      </c>
      <c r="CD84" s="173">
        <v>0</v>
      </c>
      <c r="CE84" s="173">
        <v>0</v>
      </c>
      <c r="CF84" s="177">
        <v>0</v>
      </c>
      <c r="CG84" s="2">
        <f>AS84*Weightings!$M$5*CF84</f>
        <v>0</v>
      </c>
      <c r="CH84" s="2">
        <f t="shared" si="174"/>
        <v>0</v>
      </c>
      <c r="CI84" s="117">
        <f t="shared" si="167"/>
        <v>0.375</v>
      </c>
      <c r="CJ84" s="4">
        <f t="shared" si="168"/>
        <v>0.8</v>
      </c>
      <c r="CK84" s="1">
        <f t="shared" si="175"/>
        <v>0</v>
      </c>
      <c r="CL84" s="1">
        <f t="shared" si="176"/>
        <v>0</v>
      </c>
      <c r="CM84" s="1">
        <f t="shared" si="177"/>
        <v>2.1</v>
      </c>
      <c r="CN84" s="1">
        <f>IF(ISNA(VLOOKUP($CZ84,'Audit Values'!$A$2:$AE$439,2,FALSE)),'Preliminary SO66'!T81,VLOOKUP($CZ84,'Audit Values'!$A$2:$AE$439,20,FALSE))</f>
        <v>0</v>
      </c>
      <c r="CO84" s="1">
        <f t="shared" si="182"/>
        <v>0</v>
      </c>
      <c r="CP84" s="183">
        <v>0</v>
      </c>
      <c r="CQ84" s="1">
        <f t="shared" si="183"/>
        <v>0</v>
      </c>
      <c r="CR84" s="2">
        <f>IF(ISNA(VLOOKUP($CZ84,'Audit Values'!$A$2:$AE$439,2,FALSE)),'Preliminary SO66'!V81,VLOOKUP($CZ84,'Audit Values'!$A$2:$AE$439,22,FALSE))</f>
        <v>0</v>
      </c>
      <c r="CS84" s="1">
        <f t="shared" si="184"/>
        <v>0</v>
      </c>
      <c r="CT84" s="2">
        <f>IF(ISNA(VLOOKUP($CZ84,'Audit Values'!$A$2:$AE$439,2,FALSE)),'Preliminary SO66'!W81,VLOOKUP($CZ84,'Audit Values'!$A$2:$AE$439,23,FALSE))</f>
        <v>0</v>
      </c>
      <c r="CU84" s="1">
        <f t="shared" si="138"/>
        <v>0</v>
      </c>
      <c r="CV84" s="1">
        <f t="shared" si="139"/>
        <v>0</v>
      </c>
      <c r="CW84" s="176">
        <v>13000</v>
      </c>
      <c r="CX84" s="2">
        <f>IF(CW84&gt;0,Weightings!$M$11*AR84,0)</f>
        <v>147175</v>
      </c>
      <c r="CY84" s="2">
        <f t="shared" si="178"/>
        <v>13000</v>
      </c>
      <c r="CZ84" s="108" t="s">
        <v>376</v>
      </c>
    </row>
    <row r="85" spans="1:104">
      <c r="A85" s="82">
        <v>273</v>
      </c>
      <c r="B85" s="4" t="s">
        <v>38</v>
      </c>
      <c r="C85" s="4" t="s">
        <v>712</v>
      </c>
      <c r="D85" s="1">
        <v>728.8</v>
      </c>
      <c r="E85" s="1">
        <v>0</v>
      </c>
      <c r="F85" s="1">
        <f t="shared" si="187"/>
        <v>728.8</v>
      </c>
      <c r="G85" s="1">
        <v>730.7</v>
      </c>
      <c r="H85" s="1">
        <v>0</v>
      </c>
      <c r="I85" s="1">
        <f t="shared" si="142"/>
        <v>730.7</v>
      </c>
      <c r="J85" s="1">
        <f t="shared" si="143"/>
        <v>736.5</v>
      </c>
      <c r="K85" s="1">
        <f>IF(ISNA(VLOOKUP($CZ85,'Audit Values'!$A$2:$AE$439,2,FALSE)),'Preliminary SO66'!B82,VLOOKUP($CZ85,'Audit Values'!$A$2:$AE$439,31,FALSE))</f>
        <v>736.5</v>
      </c>
      <c r="L85" s="1">
        <f t="shared" si="144"/>
        <v>736.5</v>
      </c>
      <c r="M85" s="1">
        <f>IF(ISNA(VLOOKUP($CZ85,'Audit Values'!$A$2:$AE$439,2,FALSE)),'Preliminary SO66'!Z82,VLOOKUP($CZ85,'Audit Values'!$A$2:$AE$439,26,FALSE))</f>
        <v>0</v>
      </c>
      <c r="N85" s="1">
        <f t="shared" si="145"/>
        <v>736.5</v>
      </c>
      <c r="O85" s="1">
        <f>IF(ISNA(VLOOKUP($CZ85,'Audit Values'!$A$2:$AE$439,2,FALSE)),'Preliminary SO66'!C82,IF(VLOOKUP($CZ85,'Audit Values'!$A$2:$AE$439,28,FALSE)="",VLOOKUP($CZ85,'Audit Values'!$A$2:$AE$439,3,FALSE),VLOOKUP($CZ85,'Audit Values'!$A$2:$AE$439,28,FALSE)))</f>
        <v>12.5</v>
      </c>
      <c r="P85" s="109">
        <f t="shared" si="146"/>
        <v>749</v>
      </c>
      <c r="Q85" s="110">
        <f t="shared" si="147"/>
        <v>749</v>
      </c>
      <c r="R85" s="111">
        <f t="shared" si="148"/>
        <v>749</v>
      </c>
      <c r="S85" s="1">
        <f t="shared" si="149"/>
        <v>749</v>
      </c>
      <c r="T85" s="1">
        <f t="shared" si="185"/>
        <v>0</v>
      </c>
      <c r="U85" s="1">
        <f t="shared" si="150"/>
        <v>248.4</v>
      </c>
      <c r="V85" s="1">
        <f t="shared" si="179"/>
        <v>248.4</v>
      </c>
      <c r="W85" s="1">
        <f t="shared" si="180"/>
        <v>0</v>
      </c>
      <c r="X85" s="1">
        <f>IF(ISNA(VLOOKUP($CZ85,'Audit Values'!$A$2:$AE$439,2,FALSE)),'Preliminary SO66'!D82,VLOOKUP($CZ85,'Audit Values'!$A$2:$AE$439,4,FALSE))</f>
        <v>197.4</v>
      </c>
      <c r="Y85" s="1">
        <f>ROUND((X85/6)*Weightings!$M$6,1)</f>
        <v>16.5</v>
      </c>
      <c r="Z85" s="1">
        <f>IF(ISNA(VLOOKUP($CZ85,'Audit Values'!$A$2:$AE$439,2,FALSE)),'Preliminary SO66'!F82,VLOOKUP($CZ85,'Audit Values'!$A$2:$AE$439,6,FALSE))</f>
        <v>5</v>
      </c>
      <c r="AA85" s="1">
        <f>ROUND((Z85/6)*Weightings!$M$7,1)</f>
        <v>0.3</v>
      </c>
      <c r="AB85" s="2">
        <f>IF(ISNA(VLOOKUP($CZ85,'Audit Values'!$A$2:$AE$439,2,FALSE)),'Preliminary SO66'!H82,VLOOKUP($CZ85,'Audit Values'!$A$2:$AE$439,8,FALSE))</f>
        <v>183</v>
      </c>
      <c r="AC85" s="1">
        <f>ROUND(AB85*Weightings!$M$8,1)</f>
        <v>83.4</v>
      </c>
      <c r="AD85" s="1">
        <f t="shared" si="169"/>
        <v>0</v>
      </c>
      <c r="AE85" s="185">
        <v>58</v>
      </c>
      <c r="AF85" s="1">
        <f>AE85*Weightings!$M$9</f>
        <v>2.7</v>
      </c>
      <c r="AG85" s="1">
        <f>IF(ISNA(VLOOKUP($CZ85,'Audit Values'!$A$2:$AE$439,2,FALSE)),'Preliminary SO66'!L82,VLOOKUP($CZ85,'Audit Values'!$A$2:$AE$439,12,FALSE))</f>
        <v>0</v>
      </c>
      <c r="AH85" s="1">
        <f>ROUND(AG85*Weightings!$M$10,1)</f>
        <v>0</v>
      </c>
      <c r="AI85" s="1">
        <f>IF(ISNA(VLOOKUP($CZ85,'Audit Values'!$A$2:$AE$439,2,FALSE)),'Preliminary SO66'!O82,VLOOKUP($CZ85,'Audit Values'!$A$2:$AE$439,15,FALSE))</f>
        <v>128</v>
      </c>
      <c r="AJ85" s="1">
        <f t="shared" si="151"/>
        <v>46.7</v>
      </c>
      <c r="AK85" s="1">
        <f>CC85/Weightings!$M$5</f>
        <v>0</v>
      </c>
      <c r="AL85" s="1">
        <f>CD85/Weightings!$M$5</f>
        <v>0</v>
      </c>
      <c r="AM85" s="1">
        <f>CH85/Weightings!$M$5</f>
        <v>0</v>
      </c>
      <c r="AN85" s="1">
        <f t="shared" si="181"/>
        <v>0</v>
      </c>
      <c r="AO85" s="1">
        <f>IF(ISNA(VLOOKUP($CZ85,'Audit Values'!$A$2:$AE$439,2,FALSE)),'Preliminary SO66'!X82,VLOOKUP($CZ85,'Audit Values'!$A$2:$AE$439,24,FALSE))</f>
        <v>0</v>
      </c>
      <c r="AP85" s="188">
        <v>905423</v>
      </c>
      <c r="AQ85" s="113">
        <f>AP85/Weightings!$M$5</f>
        <v>235.9</v>
      </c>
      <c r="AR85" s="113">
        <f t="shared" si="152"/>
        <v>1147</v>
      </c>
      <c r="AS85" s="1">
        <f t="shared" si="153"/>
        <v>1382.9</v>
      </c>
      <c r="AT85" s="1">
        <f t="shared" si="154"/>
        <v>1382.9</v>
      </c>
      <c r="AU85" s="2">
        <f t="shared" si="170"/>
        <v>0</v>
      </c>
      <c r="AV85" s="82">
        <f>IF(ISNA(VLOOKUP($CZ85,'Audit Values'!$A$2:$AC$360,2,FALSE)),"",IF(AND(Weightings!H85&gt;0,VLOOKUP($CZ85,'Audit Values'!$A$2:$AC$360,29,FALSE)&lt;Weightings!H85),Weightings!H85,VLOOKUP($CZ85,'Audit Values'!$A$2:$AC$360,29,FALSE)))</f>
        <v>24</v>
      </c>
      <c r="AW85" s="82" t="str">
        <f>IF(ISNA(VLOOKUP($CZ85,'Audit Values'!$A$2:$AD$360,2,FALSE)),"",VLOOKUP($CZ85,'Audit Values'!$A$2:$AD$360,30,FALSE))</f>
        <v>A</v>
      </c>
      <c r="AX85" s="82" t="str">
        <f>IF(Weightings!G85="","",IF(Weightings!I85="Pending","PX","R"))</f>
        <v/>
      </c>
      <c r="AY85" s="114">
        <f>AR85*Weightings!$M$5+AU85</f>
        <v>4402186</v>
      </c>
      <c r="AZ85" s="2">
        <f>AT85*Weightings!$M$5+AU85</f>
        <v>5307570</v>
      </c>
      <c r="BA85" s="2">
        <f>IF(Weightings!G85&gt;0,Weightings!G85,'Preliminary SO66'!AB82)</f>
        <v>5472220</v>
      </c>
      <c r="BB85" s="2">
        <f t="shared" si="155"/>
        <v>5307570</v>
      </c>
      <c r="BC85" s="124"/>
      <c r="BD85" s="124">
        <f>Weightings!E85</f>
        <v>0</v>
      </c>
      <c r="BE85" s="124">
        <f>Weightings!F85</f>
        <v>0</v>
      </c>
      <c r="BF85" s="2">
        <f t="shared" si="156"/>
        <v>0</v>
      </c>
      <c r="BG85" s="2">
        <f t="shared" si="157"/>
        <v>5307570</v>
      </c>
      <c r="BH85" s="2">
        <f>MAX(ROUND(((AR85-AO85)*4433)+AP85,0),ROUND(((AR85-AO85)*4433)+Weightings!B85,0))</f>
        <v>5990074</v>
      </c>
      <c r="BI85" s="174">
        <v>0.3</v>
      </c>
      <c r="BJ85" s="2">
        <f t="shared" si="186"/>
        <v>1797022</v>
      </c>
      <c r="BK85" s="173">
        <v>1849347</v>
      </c>
      <c r="BL85" s="2">
        <f t="shared" si="158"/>
        <v>1797022</v>
      </c>
      <c r="BM85" s="3">
        <f t="shared" si="171"/>
        <v>0.3</v>
      </c>
      <c r="BN85" s="1">
        <f t="shared" si="159"/>
        <v>0</v>
      </c>
      <c r="BO85" s="4" t="b">
        <f t="shared" si="160"/>
        <v>0</v>
      </c>
      <c r="BP85" s="5">
        <f t="shared" si="161"/>
        <v>0</v>
      </c>
      <c r="BQ85" s="6">
        <f t="shared" si="140"/>
        <v>0</v>
      </c>
      <c r="BR85" s="4">
        <f t="shared" si="162"/>
        <v>0</v>
      </c>
      <c r="BS85" s="4" t="b">
        <f t="shared" si="163"/>
        <v>1</v>
      </c>
      <c r="BT85" s="4">
        <f t="shared" si="164"/>
        <v>555.63750000000005</v>
      </c>
      <c r="BU85" s="6">
        <f t="shared" si="141"/>
        <v>0.33163900000000002</v>
      </c>
      <c r="BV85" s="1">
        <f t="shared" si="165"/>
        <v>248.4</v>
      </c>
      <c r="BW85" s="1">
        <f t="shared" si="166"/>
        <v>0</v>
      </c>
      <c r="BX85" s="116">
        <v>565</v>
      </c>
      <c r="BY85" s="7">
        <f t="shared" si="172"/>
        <v>0.23</v>
      </c>
      <c r="BZ85" s="7">
        <f>IF(ROUND((Weightings!$P$5*BY85^Weightings!$P$6*Weightings!$P$8 ),2)&lt;Weightings!$P$7,Weightings!$P$7,ROUND((Weightings!$P$5*BY85^Weightings!$P$6*Weightings!$P$8 ),2))</f>
        <v>1401.41</v>
      </c>
      <c r="CA85" s="8">
        <f>ROUND(BZ85/Weightings!$M$5,4)</f>
        <v>0.36509999999999998</v>
      </c>
      <c r="CB85" s="1">
        <f t="shared" si="173"/>
        <v>46.7</v>
      </c>
      <c r="CC85" s="173">
        <v>0</v>
      </c>
      <c r="CD85" s="173">
        <v>0</v>
      </c>
      <c r="CE85" s="173">
        <v>0</v>
      </c>
      <c r="CF85" s="177">
        <v>0</v>
      </c>
      <c r="CG85" s="2">
        <f>AS85*Weightings!$M$5*CF85</f>
        <v>0</v>
      </c>
      <c r="CH85" s="2">
        <f t="shared" si="174"/>
        <v>0</v>
      </c>
      <c r="CI85" s="117">
        <f t="shared" si="167"/>
        <v>0.24399999999999999</v>
      </c>
      <c r="CJ85" s="4">
        <f t="shared" si="168"/>
        <v>1.3</v>
      </c>
      <c r="CK85" s="1">
        <f t="shared" si="175"/>
        <v>0</v>
      </c>
      <c r="CL85" s="1">
        <f t="shared" si="176"/>
        <v>0</v>
      </c>
      <c r="CM85" s="1">
        <f t="shared" si="177"/>
        <v>0</v>
      </c>
      <c r="CN85" s="1">
        <f>IF(ISNA(VLOOKUP($CZ85,'Audit Values'!$A$2:$AE$439,2,FALSE)),'Preliminary SO66'!T82,VLOOKUP($CZ85,'Audit Values'!$A$2:$AE$439,20,FALSE))</f>
        <v>0</v>
      </c>
      <c r="CO85" s="1">
        <f t="shared" si="182"/>
        <v>0</v>
      </c>
      <c r="CP85" s="183">
        <v>0</v>
      </c>
      <c r="CQ85" s="1">
        <f t="shared" si="183"/>
        <v>0</v>
      </c>
      <c r="CR85" s="2">
        <f>IF(ISNA(VLOOKUP($CZ85,'Audit Values'!$A$2:$AE$439,2,FALSE)),'Preliminary SO66'!V82,VLOOKUP($CZ85,'Audit Values'!$A$2:$AE$439,22,FALSE))</f>
        <v>0</v>
      </c>
      <c r="CS85" s="1">
        <f t="shared" si="184"/>
        <v>0</v>
      </c>
      <c r="CT85" s="2">
        <f>IF(ISNA(VLOOKUP($CZ85,'Audit Values'!$A$2:$AE$439,2,FALSE)),'Preliminary SO66'!W82,VLOOKUP($CZ85,'Audit Values'!$A$2:$AE$439,23,FALSE))</f>
        <v>0</v>
      </c>
      <c r="CU85" s="1">
        <f t="shared" si="138"/>
        <v>0</v>
      </c>
      <c r="CV85" s="1">
        <f t="shared" si="139"/>
        <v>0</v>
      </c>
      <c r="CW85" s="176">
        <v>0</v>
      </c>
      <c r="CX85" s="2">
        <f>IF(CW85&gt;0,Weightings!$M$11*AR85,0)</f>
        <v>0</v>
      </c>
      <c r="CY85" s="2">
        <f t="shared" si="178"/>
        <v>0</v>
      </c>
      <c r="CZ85" s="108" t="s">
        <v>377</v>
      </c>
    </row>
    <row r="86" spans="1:104">
      <c r="A86" s="82">
        <v>274</v>
      </c>
      <c r="B86" s="4" t="s">
        <v>39</v>
      </c>
      <c r="C86" s="4" t="s">
        <v>713</v>
      </c>
      <c r="D86" s="1">
        <v>398.6</v>
      </c>
      <c r="E86" s="1">
        <v>0</v>
      </c>
      <c r="F86" s="1">
        <f t="shared" si="187"/>
        <v>398.6</v>
      </c>
      <c r="G86" s="1">
        <v>389.8</v>
      </c>
      <c r="H86" s="1">
        <v>0</v>
      </c>
      <c r="I86" s="1">
        <f t="shared" si="142"/>
        <v>389.8</v>
      </c>
      <c r="J86" s="1">
        <f t="shared" si="143"/>
        <v>375.2</v>
      </c>
      <c r="K86" s="1">
        <f>IF(ISNA(VLOOKUP($CZ86,'Audit Values'!$A$2:$AE$439,2,FALSE)),'Preliminary SO66'!B83,VLOOKUP($CZ86,'Audit Values'!$A$2:$AE$439,31,FALSE))</f>
        <v>375.2</v>
      </c>
      <c r="L86" s="1">
        <f t="shared" si="144"/>
        <v>389.8</v>
      </c>
      <c r="M86" s="1">
        <f>IF(ISNA(VLOOKUP($CZ86,'Audit Values'!$A$2:$AE$439,2,FALSE)),'Preliminary SO66'!Z83,VLOOKUP($CZ86,'Audit Values'!$A$2:$AE$439,26,FALSE))</f>
        <v>0</v>
      </c>
      <c r="N86" s="1">
        <f t="shared" si="145"/>
        <v>389.8</v>
      </c>
      <c r="O86" s="1">
        <f>IF(ISNA(VLOOKUP($CZ86,'Audit Values'!$A$2:$AE$439,2,FALSE)),'Preliminary SO66'!C83,IF(VLOOKUP($CZ86,'Audit Values'!$A$2:$AE$439,28,FALSE)="",VLOOKUP($CZ86,'Audit Values'!$A$2:$AE$439,3,FALSE),VLOOKUP($CZ86,'Audit Values'!$A$2:$AE$439,28,FALSE)))</f>
        <v>0</v>
      </c>
      <c r="P86" s="109">
        <f t="shared" si="146"/>
        <v>375.2</v>
      </c>
      <c r="Q86" s="110">
        <f t="shared" si="147"/>
        <v>375.2</v>
      </c>
      <c r="R86" s="111">
        <f t="shared" si="148"/>
        <v>375.2</v>
      </c>
      <c r="S86" s="1">
        <f t="shared" si="149"/>
        <v>389.8</v>
      </c>
      <c r="T86" s="1">
        <f t="shared" si="185"/>
        <v>0</v>
      </c>
      <c r="U86" s="1">
        <f t="shared" si="150"/>
        <v>176.8</v>
      </c>
      <c r="V86" s="1">
        <f t="shared" si="179"/>
        <v>176.8</v>
      </c>
      <c r="W86" s="1">
        <f t="shared" si="180"/>
        <v>0</v>
      </c>
      <c r="X86" s="1">
        <f>IF(ISNA(VLOOKUP($CZ86,'Audit Values'!$A$2:$AE$439,2,FALSE)),'Preliminary SO66'!D83,VLOOKUP($CZ86,'Audit Values'!$A$2:$AE$439,4,FALSE))</f>
        <v>129.5</v>
      </c>
      <c r="Y86" s="1">
        <f>ROUND((X86/6)*Weightings!$M$6,1)</f>
        <v>10.8</v>
      </c>
      <c r="Z86" s="1">
        <f>IF(ISNA(VLOOKUP($CZ86,'Audit Values'!$A$2:$AE$439,2,FALSE)),'Preliminary SO66'!F83,VLOOKUP($CZ86,'Audit Values'!$A$2:$AE$439,6,FALSE))</f>
        <v>0</v>
      </c>
      <c r="AA86" s="1">
        <f>ROUND((Z86/6)*Weightings!$M$7,1)</f>
        <v>0</v>
      </c>
      <c r="AB86" s="2">
        <f>IF(ISNA(VLOOKUP($CZ86,'Audit Values'!$A$2:$AE$439,2,FALSE)),'Preliminary SO66'!H83,VLOOKUP($CZ86,'Audit Values'!$A$2:$AE$439,8,FALSE))</f>
        <v>136</v>
      </c>
      <c r="AC86" s="1">
        <f>ROUND(AB86*Weightings!$M$8,1)</f>
        <v>62</v>
      </c>
      <c r="AD86" s="1">
        <f t="shared" si="169"/>
        <v>0</v>
      </c>
      <c r="AE86" s="185">
        <v>31</v>
      </c>
      <c r="AF86" s="1">
        <f>AE86*Weightings!$M$9</f>
        <v>1.4</v>
      </c>
      <c r="AG86" s="1">
        <f>IF(ISNA(VLOOKUP($CZ86,'Audit Values'!$A$2:$AE$439,2,FALSE)),'Preliminary SO66'!L83,VLOOKUP($CZ86,'Audit Values'!$A$2:$AE$439,12,FALSE))</f>
        <v>0</v>
      </c>
      <c r="AH86" s="1">
        <f>ROUND(AG86*Weightings!$M$10,1)</f>
        <v>0</v>
      </c>
      <c r="AI86" s="1">
        <f>IF(ISNA(VLOOKUP($CZ86,'Audit Values'!$A$2:$AE$439,2,FALSE)),'Preliminary SO66'!O83,VLOOKUP($CZ86,'Audit Values'!$A$2:$AE$439,15,FALSE))</f>
        <v>75.7</v>
      </c>
      <c r="AJ86" s="1">
        <f t="shared" si="151"/>
        <v>32.1</v>
      </c>
      <c r="AK86" s="1">
        <f>CC86/Weightings!$M$5</f>
        <v>0</v>
      </c>
      <c r="AL86" s="1">
        <f>CD86/Weightings!$M$5</f>
        <v>0</v>
      </c>
      <c r="AM86" s="1">
        <f>CH86/Weightings!$M$5</f>
        <v>0</v>
      </c>
      <c r="AN86" s="1">
        <f t="shared" si="181"/>
        <v>0</v>
      </c>
      <c r="AO86" s="1">
        <f>IF(ISNA(VLOOKUP($CZ86,'Audit Values'!$A$2:$AE$439,2,FALSE)),'Preliminary SO66'!X83,VLOOKUP($CZ86,'Audit Values'!$A$2:$AE$439,24,FALSE))</f>
        <v>0</v>
      </c>
      <c r="AP86" s="188">
        <v>423681</v>
      </c>
      <c r="AQ86" s="113">
        <f>AP86/Weightings!$M$5</f>
        <v>110.4</v>
      </c>
      <c r="AR86" s="113">
        <f t="shared" si="152"/>
        <v>672.9</v>
      </c>
      <c r="AS86" s="1">
        <f t="shared" si="153"/>
        <v>783.3</v>
      </c>
      <c r="AT86" s="1">
        <f t="shared" si="154"/>
        <v>783.3</v>
      </c>
      <c r="AU86" s="2">
        <f t="shared" si="170"/>
        <v>0</v>
      </c>
      <c r="AV86" s="82">
        <f>IF(ISNA(VLOOKUP($CZ86,'Audit Values'!$A$2:$AC$360,2,FALSE)),"",IF(AND(Weightings!H86&gt;0,VLOOKUP($CZ86,'Audit Values'!$A$2:$AC$360,29,FALSE)&lt;Weightings!H86),Weightings!H86,VLOOKUP($CZ86,'Audit Values'!$A$2:$AC$360,29,FALSE)))</f>
        <v>15</v>
      </c>
      <c r="AW86" s="82" t="str">
        <f>IF(ISNA(VLOOKUP($CZ86,'Audit Values'!$A$2:$AD$360,2,FALSE)),"",VLOOKUP($CZ86,'Audit Values'!$A$2:$AD$360,30,FALSE))</f>
        <v>A</v>
      </c>
      <c r="AX86" s="82" t="str">
        <f>IF(Weightings!G86="","",IF(Weightings!I86="Pending","PX","R"))</f>
        <v/>
      </c>
      <c r="AY86" s="114">
        <f>AR86*Weightings!$M$5+AU86</f>
        <v>2582590</v>
      </c>
      <c r="AZ86" s="2">
        <f>AT86*Weightings!$M$5+AU86</f>
        <v>3006305</v>
      </c>
      <c r="BA86" s="2">
        <f>IF(Weightings!G86&gt;0,Weightings!G86,'Preliminary SO66'!AB83)</f>
        <v>3107629</v>
      </c>
      <c r="BB86" s="2">
        <f t="shared" si="155"/>
        <v>3006305</v>
      </c>
      <c r="BC86" s="124"/>
      <c r="BD86" s="124">
        <f>Weightings!E86</f>
        <v>0</v>
      </c>
      <c r="BE86" s="124">
        <f>Weightings!F86</f>
        <v>0</v>
      </c>
      <c r="BF86" s="2">
        <f t="shared" si="156"/>
        <v>0</v>
      </c>
      <c r="BG86" s="2">
        <f t="shared" si="157"/>
        <v>3006305</v>
      </c>
      <c r="BH86" s="2">
        <f>MAX(ROUND(((AR86-AO86)*4433)+AP86,0),ROUND(((AR86-AO86)*4433)+Weightings!B86,0))</f>
        <v>3491140</v>
      </c>
      <c r="BI86" s="174">
        <v>0.3</v>
      </c>
      <c r="BJ86" s="2">
        <f t="shared" si="186"/>
        <v>1047342</v>
      </c>
      <c r="BK86" s="173">
        <v>1053460</v>
      </c>
      <c r="BL86" s="2">
        <f t="shared" si="158"/>
        <v>1047342</v>
      </c>
      <c r="BM86" s="3">
        <f t="shared" si="171"/>
        <v>0.3</v>
      </c>
      <c r="BN86" s="1">
        <f t="shared" si="159"/>
        <v>0</v>
      </c>
      <c r="BO86" s="4" t="b">
        <f t="shared" si="160"/>
        <v>0</v>
      </c>
      <c r="BP86" s="5">
        <f t="shared" si="161"/>
        <v>0</v>
      </c>
      <c r="BQ86" s="6">
        <f t="shared" si="140"/>
        <v>0</v>
      </c>
      <c r="BR86" s="4">
        <f t="shared" si="162"/>
        <v>0</v>
      </c>
      <c r="BS86" s="4" t="b">
        <f t="shared" si="163"/>
        <v>1</v>
      </c>
      <c r="BT86" s="4">
        <f t="shared" si="164"/>
        <v>111.1275</v>
      </c>
      <c r="BU86" s="6">
        <f t="shared" si="141"/>
        <v>0.453677</v>
      </c>
      <c r="BV86" s="1">
        <f t="shared" si="165"/>
        <v>176.8</v>
      </c>
      <c r="BW86" s="1">
        <f t="shared" si="166"/>
        <v>0</v>
      </c>
      <c r="BX86" s="116">
        <v>637</v>
      </c>
      <c r="BY86" s="7">
        <f t="shared" si="172"/>
        <v>0.12</v>
      </c>
      <c r="BZ86" s="7">
        <f>IF(ROUND((Weightings!$P$5*BY86^Weightings!$P$6*Weightings!$P$8 ),2)&lt;Weightings!$P$7,Weightings!$P$7,ROUND((Weightings!$P$5*BY86^Weightings!$P$6*Weightings!$P$8 ),2))</f>
        <v>1625.6</v>
      </c>
      <c r="CA86" s="8">
        <f>ROUND(BZ86/Weightings!$M$5,4)</f>
        <v>0.42359999999999998</v>
      </c>
      <c r="CB86" s="1">
        <f t="shared" si="173"/>
        <v>32.1</v>
      </c>
      <c r="CC86" s="173">
        <v>0</v>
      </c>
      <c r="CD86" s="173">
        <v>0</v>
      </c>
      <c r="CE86" s="173">
        <v>0</v>
      </c>
      <c r="CF86" s="177">
        <v>0</v>
      </c>
      <c r="CG86" s="2">
        <f>AS86*Weightings!$M$5*CF86</f>
        <v>0</v>
      </c>
      <c r="CH86" s="2">
        <f t="shared" si="174"/>
        <v>0</v>
      </c>
      <c r="CI86" s="117">
        <f t="shared" si="167"/>
        <v>0.34899999999999998</v>
      </c>
      <c r="CJ86" s="4">
        <f t="shared" si="168"/>
        <v>0.6</v>
      </c>
      <c r="CK86" s="1">
        <f t="shared" si="175"/>
        <v>0</v>
      </c>
      <c r="CL86" s="1">
        <f t="shared" si="176"/>
        <v>0</v>
      </c>
      <c r="CM86" s="1">
        <f t="shared" si="177"/>
        <v>0</v>
      </c>
      <c r="CN86" s="1">
        <f>IF(ISNA(VLOOKUP($CZ86,'Audit Values'!$A$2:$AE$439,2,FALSE)),'Preliminary SO66'!T83,VLOOKUP($CZ86,'Audit Values'!$A$2:$AE$439,20,FALSE))</f>
        <v>0</v>
      </c>
      <c r="CO86" s="1">
        <f t="shared" si="182"/>
        <v>0</v>
      </c>
      <c r="CP86" s="183">
        <v>0</v>
      </c>
      <c r="CQ86" s="1">
        <f t="shared" si="183"/>
        <v>0</v>
      </c>
      <c r="CR86" s="2">
        <f>IF(ISNA(VLOOKUP($CZ86,'Audit Values'!$A$2:$AE$439,2,FALSE)),'Preliminary SO66'!V83,VLOOKUP($CZ86,'Audit Values'!$A$2:$AE$439,22,FALSE))</f>
        <v>0</v>
      </c>
      <c r="CS86" s="1">
        <f t="shared" si="184"/>
        <v>0</v>
      </c>
      <c r="CT86" s="2">
        <f>IF(ISNA(VLOOKUP($CZ86,'Audit Values'!$A$2:$AE$439,2,FALSE)),'Preliminary SO66'!W83,VLOOKUP($CZ86,'Audit Values'!$A$2:$AE$439,23,FALSE))</f>
        <v>0</v>
      </c>
      <c r="CU86" s="1">
        <f t="shared" si="138"/>
        <v>0</v>
      </c>
      <c r="CV86" s="1">
        <f t="shared" si="139"/>
        <v>0</v>
      </c>
      <c r="CW86" s="176">
        <v>0</v>
      </c>
      <c r="CX86" s="2">
        <f>IF(CW86&gt;0,Weightings!$M$11*AR86,0)</f>
        <v>0</v>
      </c>
      <c r="CY86" s="2">
        <f t="shared" si="178"/>
        <v>0</v>
      </c>
      <c r="CZ86" s="108" t="s">
        <v>378</v>
      </c>
    </row>
    <row r="87" spans="1:104">
      <c r="A87" s="82">
        <v>275</v>
      </c>
      <c r="B87" s="4" t="s">
        <v>39</v>
      </c>
      <c r="C87" s="4" t="s">
        <v>714</v>
      </c>
      <c r="D87" s="1">
        <v>80</v>
      </c>
      <c r="E87" s="1">
        <v>0</v>
      </c>
      <c r="F87" s="1">
        <f t="shared" si="187"/>
        <v>80</v>
      </c>
      <c r="G87" s="1">
        <v>97.5</v>
      </c>
      <c r="H87" s="1">
        <v>0</v>
      </c>
      <c r="I87" s="1">
        <f t="shared" si="142"/>
        <v>97.5</v>
      </c>
      <c r="J87" s="1">
        <f t="shared" si="143"/>
        <v>78.5</v>
      </c>
      <c r="K87" s="1">
        <f>IF(ISNA(VLOOKUP($CZ87,'Audit Values'!$A$2:$AE$439,2,FALSE)),'Preliminary SO66'!B84,VLOOKUP($CZ87,'Audit Values'!$A$2:$AE$439,31,FALSE))</f>
        <v>78.5</v>
      </c>
      <c r="L87" s="1">
        <f t="shared" si="144"/>
        <v>97.5</v>
      </c>
      <c r="M87" s="1">
        <f>IF(ISNA(VLOOKUP($CZ87,'Audit Values'!$A$2:$AE$439,2,FALSE)),'Preliminary SO66'!Z84,VLOOKUP($CZ87,'Audit Values'!$A$2:$AE$439,26,FALSE))</f>
        <v>0</v>
      </c>
      <c r="N87" s="1">
        <f t="shared" si="145"/>
        <v>97.5</v>
      </c>
      <c r="O87" s="1">
        <f>IF(ISNA(VLOOKUP($CZ87,'Audit Values'!$A$2:$AE$439,2,FALSE)),'Preliminary SO66'!C84,IF(VLOOKUP($CZ87,'Audit Values'!$A$2:$AE$439,28,FALSE)="",VLOOKUP($CZ87,'Audit Values'!$A$2:$AE$439,3,FALSE),VLOOKUP($CZ87,'Audit Values'!$A$2:$AE$439,28,FALSE)))</f>
        <v>0</v>
      </c>
      <c r="P87" s="109">
        <f t="shared" si="146"/>
        <v>78.5</v>
      </c>
      <c r="Q87" s="110">
        <f t="shared" si="147"/>
        <v>78.5</v>
      </c>
      <c r="R87" s="111">
        <f t="shared" si="148"/>
        <v>78.5</v>
      </c>
      <c r="S87" s="1">
        <f t="shared" si="149"/>
        <v>97.5</v>
      </c>
      <c r="T87" s="1">
        <f t="shared" si="185"/>
        <v>0</v>
      </c>
      <c r="U87" s="1">
        <f t="shared" si="150"/>
        <v>98.9</v>
      </c>
      <c r="V87" s="1">
        <f t="shared" si="179"/>
        <v>98.9</v>
      </c>
      <c r="W87" s="1">
        <f t="shared" si="180"/>
        <v>0</v>
      </c>
      <c r="X87" s="1">
        <f>IF(ISNA(VLOOKUP($CZ87,'Audit Values'!$A$2:$AE$439,2,FALSE)),'Preliminary SO66'!D84,VLOOKUP($CZ87,'Audit Values'!$A$2:$AE$439,4,FALSE))</f>
        <v>0</v>
      </c>
      <c r="Y87" s="1">
        <f>ROUND((X87/6)*Weightings!$M$6,1)</f>
        <v>0</v>
      </c>
      <c r="Z87" s="1">
        <f>IF(ISNA(VLOOKUP($CZ87,'Audit Values'!$A$2:$AE$439,2,FALSE)),'Preliminary SO66'!F84,VLOOKUP($CZ87,'Audit Values'!$A$2:$AE$439,6,FALSE))</f>
        <v>0</v>
      </c>
      <c r="AA87" s="1">
        <f>ROUND((Z87/6)*Weightings!$M$7,1)</f>
        <v>0</v>
      </c>
      <c r="AB87" s="2">
        <f>IF(ISNA(VLOOKUP($CZ87,'Audit Values'!$A$2:$AE$439,2,FALSE)),'Preliminary SO66'!H84,VLOOKUP($CZ87,'Audit Values'!$A$2:$AE$439,8,FALSE))</f>
        <v>28</v>
      </c>
      <c r="AC87" s="1">
        <f>ROUND(AB87*Weightings!$M$8,1)</f>
        <v>12.8</v>
      </c>
      <c r="AD87" s="1">
        <f t="shared" si="169"/>
        <v>0</v>
      </c>
      <c r="AE87" s="185">
        <v>5</v>
      </c>
      <c r="AF87" s="1">
        <f>AE87*Weightings!$M$9</f>
        <v>0.2</v>
      </c>
      <c r="AG87" s="1">
        <f>IF(ISNA(VLOOKUP($CZ87,'Audit Values'!$A$2:$AE$439,2,FALSE)),'Preliminary SO66'!L84,VLOOKUP($CZ87,'Audit Values'!$A$2:$AE$439,12,FALSE))</f>
        <v>0</v>
      </c>
      <c r="AH87" s="1">
        <f>ROUND(AG87*Weightings!$M$10,1)</f>
        <v>0</v>
      </c>
      <c r="AI87" s="1">
        <f>IF(ISNA(VLOOKUP($CZ87,'Audit Values'!$A$2:$AE$439,2,FALSE)),'Preliminary SO66'!O84,VLOOKUP($CZ87,'Audit Values'!$A$2:$AE$439,15,FALSE))</f>
        <v>34</v>
      </c>
      <c r="AJ87" s="1">
        <f t="shared" si="151"/>
        <v>17.600000000000001</v>
      </c>
      <c r="AK87" s="1">
        <f>CC87/Weightings!$M$5</f>
        <v>0</v>
      </c>
      <c r="AL87" s="1">
        <f>CD87/Weightings!$M$5</f>
        <v>0</v>
      </c>
      <c r="AM87" s="1">
        <f>CH87/Weightings!$M$5</f>
        <v>0</v>
      </c>
      <c r="AN87" s="1">
        <f t="shared" si="181"/>
        <v>0</v>
      </c>
      <c r="AO87" s="1">
        <f>IF(ISNA(VLOOKUP($CZ87,'Audit Values'!$A$2:$AE$439,2,FALSE)),'Preliminary SO66'!X84,VLOOKUP($CZ87,'Audit Values'!$A$2:$AE$439,24,FALSE))</f>
        <v>0</v>
      </c>
      <c r="AP87" s="188">
        <v>95600.000000000015</v>
      </c>
      <c r="AQ87" s="113">
        <f>AP87/Weightings!$M$5</f>
        <v>24.9</v>
      </c>
      <c r="AR87" s="113">
        <f t="shared" si="152"/>
        <v>227</v>
      </c>
      <c r="AS87" s="1">
        <f t="shared" si="153"/>
        <v>251.9</v>
      </c>
      <c r="AT87" s="1">
        <f t="shared" si="154"/>
        <v>251.9</v>
      </c>
      <c r="AU87" s="2">
        <f t="shared" si="170"/>
        <v>0</v>
      </c>
      <c r="AV87" s="82">
        <f>IF(ISNA(VLOOKUP($CZ87,'Audit Values'!$A$2:$AC$360,2,FALSE)),"",IF(AND(Weightings!H87&gt;0,VLOOKUP($CZ87,'Audit Values'!$A$2:$AC$360,29,FALSE)&lt;Weightings!H87),Weightings!H87,VLOOKUP($CZ87,'Audit Values'!$A$2:$AC$360,29,FALSE)))</f>
        <v>9</v>
      </c>
      <c r="AW87" s="82" t="str">
        <f>IF(ISNA(VLOOKUP($CZ87,'Audit Values'!$A$2:$AD$360,2,FALSE)),"",VLOOKUP($CZ87,'Audit Values'!$A$2:$AD$360,30,FALSE))</f>
        <v>A</v>
      </c>
      <c r="AX87" s="82" t="str">
        <f>IF(Weightings!G87="","",IF(Weightings!I87="Pending","PX","R"))</f>
        <v/>
      </c>
      <c r="AY87" s="114">
        <f>AR87*Weightings!$M$5+AU87</f>
        <v>871226</v>
      </c>
      <c r="AZ87" s="2">
        <f>AT87*Weightings!$M$5+AU87</f>
        <v>966792</v>
      </c>
      <c r="BA87" s="2">
        <f>IF(Weightings!G87&gt;0,Weightings!G87,'Preliminary SO66'!AB84)</f>
        <v>981377</v>
      </c>
      <c r="BB87" s="2">
        <f t="shared" si="155"/>
        <v>966792</v>
      </c>
      <c r="BC87" s="124"/>
      <c r="BD87" s="124">
        <f>Weightings!E87</f>
        <v>0</v>
      </c>
      <c r="BE87" s="124">
        <f>Weightings!F87</f>
        <v>0</v>
      </c>
      <c r="BF87" s="2">
        <f t="shared" si="156"/>
        <v>0</v>
      </c>
      <c r="BG87" s="2">
        <f t="shared" si="157"/>
        <v>966792</v>
      </c>
      <c r="BH87" s="2">
        <f>MAX(ROUND(((AR87-AO87)*4433)+AP87,0),ROUND(((AR87-AO87)*4433)+Weightings!B87,0))</f>
        <v>1128217</v>
      </c>
      <c r="BI87" s="174">
        <v>0.3</v>
      </c>
      <c r="BJ87" s="2">
        <f t="shared" si="186"/>
        <v>338465</v>
      </c>
      <c r="BK87" s="173">
        <v>341790</v>
      </c>
      <c r="BL87" s="2">
        <f t="shared" si="158"/>
        <v>338465</v>
      </c>
      <c r="BM87" s="3">
        <f t="shared" si="171"/>
        <v>0.3</v>
      </c>
      <c r="BN87" s="1">
        <f t="shared" si="159"/>
        <v>98.9</v>
      </c>
      <c r="BO87" s="4" t="b">
        <f t="shared" si="160"/>
        <v>0</v>
      </c>
      <c r="BP87" s="5">
        <f t="shared" si="161"/>
        <v>0</v>
      </c>
      <c r="BQ87" s="6">
        <f t="shared" si="140"/>
        <v>0</v>
      </c>
      <c r="BR87" s="4">
        <f t="shared" si="162"/>
        <v>0</v>
      </c>
      <c r="BS87" s="4" t="b">
        <f t="shared" si="163"/>
        <v>0</v>
      </c>
      <c r="BT87" s="4">
        <f t="shared" si="164"/>
        <v>0</v>
      </c>
      <c r="BU87" s="6">
        <f t="shared" si="141"/>
        <v>0</v>
      </c>
      <c r="BV87" s="1">
        <f t="shared" si="165"/>
        <v>0</v>
      </c>
      <c r="BW87" s="1">
        <f t="shared" si="166"/>
        <v>0</v>
      </c>
      <c r="BX87" s="116">
        <v>662</v>
      </c>
      <c r="BY87" s="7">
        <f t="shared" si="172"/>
        <v>0.05</v>
      </c>
      <c r="BZ87" s="7">
        <f>IF(ROUND((Weightings!$P$5*BY87^Weightings!$P$6*Weightings!$P$8 ),2)&lt;Weightings!$P$7,Weightings!$P$7,ROUND((Weightings!$P$5*BY87^Weightings!$P$6*Weightings!$P$8 ),2))</f>
        <v>1984.91</v>
      </c>
      <c r="CA87" s="8">
        <f>ROUND(BZ87/Weightings!$M$5,4)</f>
        <v>0.51719999999999999</v>
      </c>
      <c r="CB87" s="1">
        <f t="shared" si="173"/>
        <v>17.600000000000001</v>
      </c>
      <c r="CC87" s="173">
        <v>0</v>
      </c>
      <c r="CD87" s="173">
        <v>0</v>
      </c>
      <c r="CE87" s="173">
        <v>0</v>
      </c>
      <c r="CF87" s="177">
        <v>0</v>
      </c>
      <c r="CG87" s="2">
        <f>AS87*Weightings!$M$5*CF87</f>
        <v>0</v>
      </c>
      <c r="CH87" s="2">
        <f t="shared" si="174"/>
        <v>0</v>
      </c>
      <c r="CI87" s="117">
        <f t="shared" si="167"/>
        <v>0.28699999999999998</v>
      </c>
      <c r="CJ87" s="4">
        <f t="shared" si="168"/>
        <v>0.1</v>
      </c>
      <c r="CK87" s="1">
        <f t="shared" si="175"/>
        <v>0</v>
      </c>
      <c r="CL87" s="1">
        <f t="shared" si="176"/>
        <v>0</v>
      </c>
      <c r="CM87" s="1">
        <f t="shared" si="177"/>
        <v>0</v>
      </c>
      <c r="CN87" s="1">
        <f>IF(ISNA(VLOOKUP($CZ87,'Audit Values'!$A$2:$AE$439,2,FALSE)),'Preliminary SO66'!T84,VLOOKUP($CZ87,'Audit Values'!$A$2:$AE$439,20,FALSE))</f>
        <v>0</v>
      </c>
      <c r="CO87" s="1">
        <f t="shared" si="182"/>
        <v>0</v>
      </c>
      <c r="CP87" s="183">
        <v>0</v>
      </c>
      <c r="CQ87" s="1">
        <f t="shared" si="183"/>
        <v>0</v>
      </c>
      <c r="CR87" s="2">
        <f>IF(ISNA(VLOOKUP($CZ87,'Audit Values'!$A$2:$AE$439,2,FALSE)),'Preliminary SO66'!V84,VLOOKUP($CZ87,'Audit Values'!$A$2:$AE$439,22,FALSE))</f>
        <v>0</v>
      </c>
      <c r="CS87" s="1">
        <f t="shared" si="184"/>
        <v>0</v>
      </c>
      <c r="CT87" s="2">
        <f>IF(ISNA(VLOOKUP($CZ87,'Audit Values'!$A$2:$AE$439,2,FALSE)),'Preliminary SO66'!W84,VLOOKUP($CZ87,'Audit Values'!$A$2:$AE$439,23,FALSE))</f>
        <v>0</v>
      </c>
      <c r="CU87" s="1">
        <f t="shared" si="138"/>
        <v>0</v>
      </c>
      <c r="CV87" s="1">
        <f t="shared" si="139"/>
        <v>0</v>
      </c>
      <c r="CW87" s="176">
        <v>0</v>
      </c>
      <c r="CX87" s="2">
        <f>IF(CW87&gt;0,Weightings!$M$11*AR87,0)</f>
        <v>0</v>
      </c>
      <c r="CY87" s="2">
        <f t="shared" si="178"/>
        <v>0</v>
      </c>
      <c r="CZ87" s="108" t="s">
        <v>379</v>
      </c>
    </row>
    <row r="88" spans="1:104">
      <c r="A88" s="82">
        <v>281</v>
      </c>
      <c r="B88" s="4" t="s">
        <v>40</v>
      </c>
      <c r="C88" s="4" t="s">
        <v>715</v>
      </c>
      <c r="D88" s="1">
        <v>387.6</v>
      </c>
      <c r="E88" s="1">
        <v>0</v>
      </c>
      <c r="F88" s="1">
        <f t="shared" si="187"/>
        <v>387.6</v>
      </c>
      <c r="G88" s="1">
        <v>357.5</v>
      </c>
      <c r="H88" s="1">
        <v>0</v>
      </c>
      <c r="I88" s="1">
        <f t="shared" si="142"/>
        <v>357.5</v>
      </c>
      <c r="J88" s="1">
        <f t="shared" si="143"/>
        <v>378.6</v>
      </c>
      <c r="K88" s="1">
        <f>IF(ISNA(VLOOKUP($CZ88,'Audit Values'!$A$2:$AE$439,2,FALSE)),'Preliminary SO66'!B85,VLOOKUP($CZ88,'Audit Values'!$A$2:$AE$439,31,FALSE))</f>
        <v>353.9</v>
      </c>
      <c r="L88" s="1">
        <f t="shared" si="144"/>
        <v>366.3</v>
      </c>
      <c r="M88" s="1">
        <f>IF(ISNA(VLOOKUP($CZ88,'Audit Values'!$A$2:$AE$439,2,FALSE)),'Preliminary SO66'!Z85,VLOOKUP($CZ88,'Audit Values'!$A$2:$AE$439,26,FALSE))</f>
        <v>0</v>
      </c>
      <c r="N88" s="1">
        <f t="shared" si="145"/>
        <v>366.3</v>
      </c>
      <c r="O88" s="1">
        <f>IF(ISNA(VLOOKUP($CZ88,'Audit Values'!$A$2:$AE$439,2,FALSE)),'Preliminary SO66'!C85,IF(VLOOKUP($CZ88,'Audit Values'!$A$2:$AE$439,28,FALSE)="",VLOOKUP($CZ88,'Audit Values'!$A$2:$AE$439,3,FALSE),VLOOKUP($CZ88,'Audit Values'!$A$2:$AE$439,28,FALSE)))</f>
        <v>0</v>
      </c>
      <c r="P88" s="109">
        <f t="shared" si="146"/>
        <v>353.9</v>
      </c>
      <c r="Q88" s="110">
        <f t="shared" si="147"/>
        <v>378.6</v>
      </c>
      <c r="R88" s="111">
        <f t="shared" si="148"/>
        <v>378.6</v>
      </c>
      <c r="S88" s="1">
        <f t="shared" si="149"/>
        <v>366.3</v>
      </c>
      <c r="T88" s="1">
        <f t="shared" si="185"/>
        <v>24.7</v>
      </c>
      <c r="U88" s="1">
        <f t="shared" si="150"/>
        <v>169.1</v>
      </c>
      <c r="V88" s="1">
        <f t="shared" si="179"/>
        <v>169.1</v>
      </c>
      <c r="W88" s="1">
        <f t="shared" si="180"/>
        <v>0</v>
      </c>
      <c r="X88" s="1">
        <f>IF(ISNA(VLOOKUP($CZ88,'Audit Values'!$A$2:$AE$439,2,FALSE)),'Preliminary SO66'!D85,VLOOKUP($CZ88,'Audit Values'!$A$2:$AE$439,4,FALSE))</f>
        <v>96.6</v>
      </c>
      <c r="Y88" s="1">
        <f>ROUND((X88/6)*Weightings!$M$6,1)</f>
        <v>8.1</v>
      </c>
      <c r="Z88" s="1">
        <f>IF(ISNA(VLOOKUP($CZ88,'Audit Values'!$A$2:$AE$439,2,FALSE)),'Preliminary SO66'!F85,VLOOKUP($CZ88,'Audit Values'!$A$2:$AE$439,6,FALSE))</f>
        <v>0</v>
      </c>
      <c r="AA88" s="1">
        <f>ROUND((Z88/6)*Weightings!$M$7,1)</f>
        <v>0</v>
      </c>
      <c r="AB88" s="2">
        <f>IF(ISNA(VLOOKUP($CZ88,'Audit Values'!$A$2:$AE$439,2,FALSE)),'Preliminary SO66'!H85,VLOOKUP($CZ88,'Audit Values'!$A$2:$AE$439,8,FALSE))</f>
        <v>122</v>
      </c>
      <c r="AC88" s="1">
        <f>ROUND(AB88*Weightings!$M$8,1)</f>
        <v>55.6</v>
      </c>
      <c r="AD88" s="1">
        <f t="shared" si="169"/>
        <v>0</v>
      </c>
      <c r="AE88" s="185">
        <v>35</v>
      </c>
      <c r="AF88" s="1">
        <f>AE88*Weightings!$M$9</f>
        <v>1.6</v>
      </c>
      <c r="AG88" s="1">
        <f>IF(ISNA(VLOOKUP($CZ88,'Audit Values'!$A$2:$AE$439,2,FALSE)),'Preliminary SO66'!L85,VLOOKUP($CZ88,'Audit Values'!$A$2:$AE$439,12,FALSE))</f>
        <v>0</v>
      </c>
      <c r="AH88" s="1">
        <f>ROUND(AG88*Weightings!$M$10,1)</f>
        <v>0</v>
      </c>
      <c r="AI88" s="1">
        <f>IF(ISNA(VLOOKUP($CZ88,'Audit Values'!$A$2:$AE$439,2,FALSE)),'Preliminary SO66'!O85,VLOOKUP($CZ88,'Audit Values'!$A$2:$AE$439,15,FALSE))</f>
        <v>101</v>
      </c>
      <c r="AJ88" s="1">
        <f t="shared" si="151"/>
        <v>41.3</v>
      </c>
      <c r="AK88" s="1">
        <f>CC88/Weightings!$M$5</f>
        <v>0</v>
      </c>
      <c r="AL88" s="1">
        <f>CD88/Weightings!$M$5</f>
        <v>0</v>
      </c>
      <c r="AM88" s="1">
        <f>CH88/Weightings!$M$5</f>
        <v>0</v>
      </c>
      <c r="AN88" s="1">
        <f t="shared" si="181"/>
        <v>25.9</v>
      </c>
      <c r="AO88" s="1">
        <f>IF(ISNA(VLOOKUP($CZ88,'Audit Values'!$A$2:$AE$439,2,FALSE)),'Preliminary SO66'!X85,VLOOKUP($CZ88,'Audit Values'!$A$2:$AE$439,24,FALSE))</f>
        <v>0</v>
      </c>
      <c r="AP88" s="188">
        <v>277969</v>
      </c>
      <c r="AQ88" s="113">
        <f>AP88/Weightings!$M$5</f>
        <v>72.400000000000006</v>
      </c>
      <c r="AR88" s="113">
        <f t="shared" si="152"/>
        <v>667.9</v>
      </c>
      <c r="AS88" s="1">
        <f t="shared" si="153"/>
        <v>740.3</v>
      </c>
      <c r="AT88" s="1">
        <f t="shared" si="154"/>
        <v>740.3</v>
      </c>
      <c r="AU88" s="2">
        <f t="shared" si="170"/>
        <v>0</v>
      </c>
      <c r="AV88" s="82">
        <f>IF(ISNA(VLOOKUP($CZ88,'Audit Values'!$A$2:$AC$360,2,FALSE)),"",IF(AND(Weightings!H88&gt;0,VLOOKUP($CZ88,'Audit Values'!$A$2:$AC$360,29,FALSE)&lt;Weightings!H88),Weightings!H88,VLOOKUP($CZ88,'Audit Values'!$A$2:$AC$360,29,FALSE)))</f>
        <v>18</v>
      </c>
      <c r="AW88" s="82" t="str">
        <f>IF(ISNA(VLOOKUP($CZ88,'Audit Values'!$A$2:$AD$360,2,FALSE)),"",VLOOKUP($CZ88,'Audit Values'!$A$2:$AD$360,30,FALSE))</f>
        <v>A</v>
      </c>
      <c r="AX88" s="82" t="str">
        <f>IF(Weightings!G88="","",IF(Weightings!I88="Pending","PX","R"))</f>
        <v/>
      </c>
      <c r="AY88" s="114">
        <f>AR88*Weightings!$M$5+AU88</f>
        <v>2563400</v>
      </c>
      <c r="AZ88" s="2">
        <f>AT88*Weightings!$M$5+AU88</f>
        <v>2841271</v>
      </c>
      <c r="BA88" s="2">
        <f>IF(Weightings!G88&gt;0,Weightings!G88,'Preliminary SO66'!AB85)</f>
        <v>3048140</v>
      </c>
      <c r="BB88" s="2">
        <f t="shared" si="155"/>
        <v>2841271</v>
      </c>
      <c r="BC88" s="124"/>
      <c r="BD88" s="124">
        <f>Weightings!E88</f>
        <v>0</v>
      </c>
      <c r="BE88" s="124">
        <f>Weightings!F88</f>
        <v>0</v>
      </c>
      <c r="BF88" s="2">
        <f t="shared" si="156"/>
        <v>0</v>
      </c>
      <c r="BG88" s="2">
        <f t="shared" si="157"/>
        <v>2841271</v>
      </c>
      <c r="BH88" s="2">
        <f>MAX(ROUND(((AR88-AO88)*4433)+AP88,0),ROUND(((AR88-AO88)*4433)+Weightings!B88,0))</f>
        <v>3413580</v>
      </c>
      <c r="BI88" s="174">
        <v>0.3</v>
      </c>
      <c r="BJ88" s="2">
        <f t="shared" ref="BJ88:BJ122" si="188">BH88*BI88</f>
        <v>1024074</v>
      </c>
      <c r="BK88" s="173">
        <v>1078999</v>
      </c>
      <c r="BL88" s="2">
        <f t="shared" si="158"/>
        <v>1024074</v>
      </c>
      <c r="BM88" s="3">
        <f t="shared" si="171"/>
        <v>0.3</v>
      </c>
      <c r="BN88" s="1">
        <f t="shared" si="159"/>
        <v>0</v>
      </c>
      <c r="BO88" s="4" t="b">
        <f t="shared" si="160"/>
        <v>0</v>
      </c>
      <c r="BP88" s="5">
        <f t="shared" si="161"/>
        <v>0</v>
      </c>
      <c r="BQ88" s="6">
        <f t="shared" si="140"/>
        <v>0</v>
      </c>
      <c r="BR88" s="4">
        <f t="shared" si="162"/>
        <v>0</v>
      </c>
      <c r="BS88" s="4" t="b">
        <f t="shared" si="163"/>
        <v>1</v>
      </c>
      <c r="BT88" s="4">
        <f t="shared" si="164"/>
        <v>82.046300000000002</v>
      </c>
      <c r="BU88" s="6">
        <f t="shared" si="141"/>
        <v>0.46166099999999999</v>
      </c>
      <c r="BV88" s="1">
        <f t="shared" si="165"/>
        <v>169.1</v>
      </c>
      <c r="BW88" s="1">
        <f t="shared" si="166"/>
        <v>0</v>
      </c>
      <c r="BX88" s="116">
        <v>728.3</v>
      </c>
      <c r="BY88" s="7">
        <f t="shared" si="172"/>
        <v>0.14000000000000001</v>
      </c>
      <c r="BZ88" s="7">
        <f>IF(ROUND((Weightings!$P$5*BY88^Weightings!$P$6*Weightings!$P$8 ),2)&lt;Weightings!$P$7,Weightings!$P$7,ROUND((Weightings!$P$5*BY88^Weightings!$P$6*Weightings!$P$8 ),2))</f>
        <v>1569.43</v>
      </c>
      <c r="CA88" s="8">
        <f>ROUND(BZ88/Weightings!$M$5,4)</f>
        <v>0.40889999999999999</v>
      </c>
      <c r="CB88" s="1">
        <f t="shared" si="173"/>
        <v>41.3</v>
      </c>
      <c r="CC88" s="173">
        <v>0</v>
      </c>
      <c r="CD88" s="173">
        <v>0</v>
      </c>
      <c r="CE88" s="173">
        <v>0</v>
      </c>
      <c r="CF88" s="177">
        <v>0</v>
      </c>
      <c r="CG88" s="2">
        <f>AS88*Weightings!$M$5*CF88</f>
        <v>0</v>
      </c>
      <c r="CH88" s="2">
        <f t="shared" si="174"/>
        <v>0</v>
      </c>
      <c r="CI88" s="117">
        <f t="shared" si="167"/>
        <v>0.33300000000000002</v>
      </c>
      <c r="CJ88" s="4">
        <f t="shared" si="168"/>
        <v>0.5</v>
      </c>
      <c r="CK88" s="1">
        <f t="shared" si="175"/>
        <v>0</v>
      </c>
      <c r="CL88" s="1">
        <f t="shared" si="176"/>
        <v>0</v>
      </c>
      <c r="CM88" s="1">
        <f t="shared" si="177"/>
        <v>0</v>
      </c>
      <c r="CN88" s="1">
        <f>IF(ISNA(VLOOKUP($CZ88,'Audit Values'!$A$2:$AE$439,2,FALSE)),'Preliminary SO66'!T85,VLOOKUP($CZ88,'Audit Values'!$A$2:$AE$439,20,FALSE))</f>
        <v>24.7</v>
      </c>
      <c r="CO88" s="1">
        <f t="shared" si="182"/>
        <v>25.9</v>
      </c>
      <c r="CP88" s="183">
        <v>0</v>
      </c>
      <c r="CQ88" s="1">
        <f t="shared" si="183"/>
        <v>0</v>
      </c>
      <c r="CR88" s="2">
        <f>IF(ISNA(VLOOKUP($CZ88,'Audit Values'!$A$2:$AE$439,2,FALSE)),'Preliminary SO66'!V85,VLOOKUP($CZ88,'Audit Values'!$A$2:$AE$439,22,FALSE))</f>
        <v>0</v>
      </c>
      <c r="CS88" s="1">
        <f t="shared" si="184"/>
        <v>0</v>
      </c>
      <c r="CT88" s="2">
        <f>IF(ISNA(VLOOKUP($CZ88,'Audit Values'!$A$2:$AE$439,2,FALSE)),'Preliminary SO66'!W85,VLOOKUP($CZ88,'Audit Values'!$A$2:$AE$439,23,FALSE))</f>
        <v>0</v>
      </c>
      <c r="CU88" s="1">
        <f t="shared" ref="CU88:CU122" si="189">CT88*0.08</f>
        <v>0</v>
      </c>
      <c r="CV88" s="1">
        <f t="shared" ref="CV88:CV122" si="190">CO88+CQ88+CS88+CU88</f>
        <v>25.9</v>
      </c>
      <c r="CW88" s="176">
        <v>0</v>
      </c>
      <c r="CX88" s="2">
        <f>IF(CW88&gt;0,Weightings!$M$11*AR88,0)</f>
        <v>0</v>
      </c>
      <c r="CY88" s="2">
        <f t="shared" si="178"/>
        <v>0</v>
      </c>
      <c r="CZ88" s="108" t="s">
        <v>380</v>
      </c>
    </row>
    <row r="89" spans="1:104">
      <c r="A89" s="82">
        <v>282</v>
      </c>
      <c r="B89" s="4" t="s">
        <v>41</v>
      </c>
      <c r="C89" s="4" t="s">
        <v>716</v>
      </c>
      <c r="D89" s="1">
        <v>301</v>
      </c>
      <c r="E89" s="1">
        <v>0</v>
      </c>
      <c r="F89" s="1">
        <f t="shared" si="187"/>
        <v>301</v>
      </c>
      <c r="G89" s="1">
        <v>290</v>
      </c>
      <c r="H89" s="1">
        <v>0</v>
      </c>
      <c r="I89" s="1">
        <f t="shared" si="142"/>
        <v>290</v>
      </c>
      <c r="J89" s="1">
        <f t="shared" si="143"/>
        <v>312.8</v>
      </c>
      <c r="K89" s="1">
        <f>IF(ISNA(VLOOKUP($CZ89,'Audit Values'!$A$2:$AE$439,2,FALSE)),'Preliminary SO66'!B86,VLOOKUP($CZ89,'Audit Values'!$A$2:$AE$439,31,FALSE))</f>
        <v>312.8</v>
      </c>
      <c r="L89" s="1">
        <f t="shared" si="144"/>
        <v>312.8</v>
      </c>
      <c r="M89" s="1">
        <f>IF(ISNA(VLOOKUP($CZ89,'Audit Values'!$A$2:$AE$439,2,FALSE)),'Preliminary SO66'!Z86,VLOOKUP($CZ89,'Audit Values'!$A$2:$AE$439,26,FALSE))</f>
        <v>0</v>
      </c>
      <c r="N89" s="1">
        <f t="shared" si="145"/>
        <v>312.8</v>
      </c>
      <c r="O89" s="1">
        <f>IF(ISNA(VLOOKUP($CZ89,'Audit Values'!$A$2:$AE$439,2,FALSE)),'Preliminary SO66'!C86,IF(VLOOKUP($CZ89,'Audit Values'!$A$2:$AE$439,28,FALSE)="",VLOOKUP($CZ89,'Audit Values'!$A$2:$AE$439,3,FALSE),VLOOKUP($CZ89,'Audit Values'!$A$2:$AE$439,28,FALSE)))</f>
        <v>3</v>
      </c>
      <c r="P89" s="109">
        <f t="shared" si="146"/>
        <v>315.8</v>
      </c>
      <c r="Q89" s="110">
        <f t="shared" si="147"/>
        <v>315.8</v>
      </c>
      <c r="R89" s="111">
        <f t="shared" si="148"/>
        <v>315.8</v>
      </c>
      <c r="S89" s="1">
        <f t="shared" si="149"/>
        <v>315.8</v>
      </c>
      <c r="T89" s="1">
        <f t="shared" si="185"/>
        <v>0</v>
      </c>
      <c r="U89" s="1">
        <f t="shared" si="150"/>
        <v>151.19999999999999</v>
      </c>
      <c r="V89" s="1">
        <f t="shared" si="179"/>
        <v>151.19999999999999</v>
      </c>
      <c r="W89" s="1">
        <f t="shared" si="180"/>
        <v>0</v>
      </c>
      <c r="X89" s="1">
        <f>IF(ISNA(VLOOKUP($CZ89,'Audit Values'!$A$2:$AE$439,2,FALSE)),'Preliminary SO66'!D86,VLOOKUP($CZ89,'Audit Values'!$A$2:$AE$439,4,FALSE))</f>
        <v>129.4</v>
      </c>
      <c r="Y89" s="1">
        <f>ROUND((X89/6)*Weightings!$M$6,1)</f>
        <v>10.8</v>
      </c>
      <c r="Z89" s="1">
        <f>IF(ISNA(VLOOKUP($CZ89,'Audit Values'!$A$2:$AE$439,2,FALSE)),'Preliminary SO66'!F86,VLOOKUP($CZ89,'Audit Values'!$A$2:$AE$439,6,FALSE))</f>
        <v>0</v>
      </c>
      <c r="AA89" s="1">
        <f>ROUND((Z89/6)*Weightings!$M$7,1)</f>
        <v>0</v>
      </c>
      <c r="AB89" s="2">
        <f>IF(ISNA(VLOOKUP($CZ89,'Audit Values'!$A$2:$AE$439,2,FALSE)),'Preliminary SO66'!H86,VLOOKUP($CZ89,'Audit Values'!$A$2:$AE$439,8,FALSE))</f>
        <v>157</v>
      </c>
      <c r="AC89" s="1">
        <f>ROUND(AB89*Weightings!$M$8,1)</f>
        <v>71.599999999999994</v>
      </c>
      <c r="AD89" s="1">
        <f t="shared" si="169"/>
        <v>16.2</v>
      </c>
      <c r="AE89" s="185">
        <v>12</v>
      </c>
      <c r="AF89" s="1">
        <f>AE89*Weightings!$M$9</f>
        <v>0.6</v>
      </c>
      <c r="AG89" s="1">
        <f>IF(ISNA(VLOOKUP($CZ89,'Audit Values'!$A$2:$AE$439,2,FALSE)),'Preliminary SO66'!L86,VLOOKUP($CZ89,'Audit Values'!$A$2:$AE$439,12,FALSE))</f>
        <v>0</v>
      </c>
      <c r="AH89" s="1">
        <f>ROUND(AG89*Weightings!$M$10,1)</f>
        <v>0</v>
      </c>
      <c r="AI89" s="1">
        <f>IF(ISNA(VLOOKUP($CZ89,'Audit Values'!$A$2:$AE$439,2,FALSE)),'Preliminary SO66'!O86,VLOOKUP($CZ89,'Audit Values'!$A$2:$AE$439,15,FALSE))</f>
        <v>174</v>
      </c>
      <c r="AJ89" s="1">
        <f t="shared" si="151"/>
        <v>58.9</v>
      </c>
      <c r="AK89" s="1">
        <f>CC89/Weightings!$M$5</f>
        <v>0</v>
      </c>
      <c r="AL89" s="1">
        <f>CD89/Weightings!$M$5</f>
        <v>0</v>
      </c>
      <c r="AM89" s="1">
        <f>CH89/Weightings!$M$5</f>
        <v>0</v>
      </c>
      <c r="AN89" s="1">
        <f t="shared" si="181"/>
        <v>0</v>
      </c>
      <c r="AO89" s="1">
        <f>IF(ISNA(VLOOKUP($CZ89,'Audit Values'!$A$2:$AE$439,2,FALSE)),'Preliminary SO66'!X86,VLOOKUP($CZ89,'Audit Values'!$A$2:$AE$439,24,FALSE))</f>
        <v>0</v>
      </c>
      <c r="AP89" s="188">
        <v>610487</v>
      </c>
      <c r="AQ89" s="113">
        <f>AP89/Weightings!$M$5</f>
        <v>159.1</v>
      </c>
      <c r="AR89" s="113">
        <f t="shared" si="152"/>
        <v>625.1</v>
      </c>
      <c r="AS89" s="1">
        <f t="shared" si="153"/>
        <v>784.2</v>
      </c>
      <c r="AT89" s="1">
        <f t="shared" si="154"/>
        <v>784.2</v>
      </c>
      <c r="AU89" s="2">
        <f t="shared" si="170"/>
        <v>0</v>
      </c>
      <c r="AV89" s="82">
        <f>IF(ISNA(VLOOKUP($CZ89,'Audit Values'!$A$2:$AC$360,2,FALSE)),"",IF(AND(Weightings!H89&gt;0,VLOOKUP($CZ89,'Audit Values'!$A$2:$AC$360,29,FALSE)&lt;Weightings!H89),Weightings!H89,VLOOKUP($CZ89,'Audit Values'!$A$2:$AC$360,29,FALSE)))</f>
        <v>16</v>
      </c>
      <c r="AW89" s="82" t="str">
        <f>IF(ISNA(VLOOKUP($CZ89,'Audit Values'!$A$2:$AD$360,2,FALSE)),"",VLOOKUP($CZ89,'Audit Values'!$A$2:$AD$360,30,FALSE))</f>
        <v>A</v>
      </c>
      <c r="AX89" s="82" t="str">
        <f>IF(Weightings!G89="","",IF(Weightings!I89="Pending","PX","R"))</f>
        <v>R</v>
      </c>
      <c r="AY89" s="114">
        <f>AR89*Weightings!$M$5+AU89</f>
        <v>2399134</v>
      </c>
      <c r="AZ89" s="2">
        <f>AT89*Weightings!$M$5+AU89</f>
        <v>3009760</v>
      </c>
      <c r="BA89" s="2">
        <f>IF(Weightings!G89&gt;0,Weightings!G89,'Preliminary SO66'!AB86)</f>
        <v>3047756</v>
      </c>
      <c r="BB89" s="2">
        <f t="shared" si="155"/>
        <v>3009760</v>
      </c>
      <c r="BC89" s="124"/>
      <c r="BD89" s="124">
        <f>Weightings!E89</f>
        <v>0</v>
      </c>
      <c r="BE89" s="124">
        <f>Weightings!F89</f>
        <v>0</v>
      </c>
      <c r="BF89" s="2">
        <f t="shared" si="156"/>
        <v>0</v>
      </c>
      <c r="BG89" s="2">
        <f t="shared" si="157"/>
        <v>3009760</v>
      </c>
      <c r="BH89" s="2">
        <f>MAX(ROUND(((AR89-AO89)*4433)+AP89,0),ROUND(((AR89-AO89)*4433)+Weightings!B89,0))</f>
        <v>3381555</v>
      </c>
      <c r="BI89" s="174">
        <v>0.3</v>
      </c>
      <c r="BJ89" s="2">
        <f t="shared" si="188"/>
        <v>1014467</v>
      </c>
      <c r="BK89" s="173">
        <v>928589</v>
      </c>
      <c r="BL89" s="2">
        <f t="shared" si="158"/>
        <v>928589</v>
      </c>
      <c r="BM89" s="3">
        <f t="shared" si="171"/>
        <v>0.27460000000000001</v>
      </c>
      <c r="BN89" s="1">
        <f t="shared" si="159"/>
        <v>0</v>
      </c>
      <c r="BO89" s="4" t="b">
        <f t="shared" si="160"/>
        <v>0</v>
      </c>
      <c r="BP89" s="5">
        <f t="shared" si="161"/>
        <v>0</v>
      </c>
      <c r="BQ89" s="6">
        <f t="shared" si="140"/>
        <v>0</v>
      </c>
      <c r="BR89" s="4">
        <f t="shared" si="162"/>
        <v>0</v>
      </c>
      <c r="BS89" s="4" t="b">
        <f t="shared" si="163"/>
        <v>1</v>
      </c>
      <c r="BT89" s="4">
        <f t="shared" si="164"/>
        <v>19.552499999999998</v>
      </c>
      <c r="BU89" s="6">
        <f t="shared" si="141"/>
        <v>0.47881800000000002</v>
      </c>
      <c r="BV89" s="1">
        <f t="shared" si="165"/>
        <v>151.19999999999999</v>
      </c>
      <c r="BW89" s="1">
        <f t="shared" si="166"/>
        <v>0</v>
      </c>
      <c r="BX89" s="116">
        <v>541</v>
      </c>
      <c r="BY89" s="7">
        <f t="shared" si="172"/>
        <v>0.32</v>
      </c>
      <c r="BZ89" s="7">
        <f>IF(ROUND((Weightings!$P$5*BY89^Weightings!$P$6*Weightings!$P$8 ),2)&lt;Weightings!$P$7,Weightings!$P$7,ROUND((Weightings!$P$5*BY89^Weightings!$P$6*Weightings!$P$8 ),2))</f>
        <v>1299.72</v>
      </c>
      <c r="CA89" s="8">
        <f>ROUND(BZ89/Weightings!$M$5,4)</f>
        <v>0.33860000000000001</v>
      </c>
      <c r="CB89" s="1">
        <f t="shared" si="173"/>
        <v>58.9</v>
      </c>
      <c r="CC89" s="173">
        <v>0</v>
      </c>
      <c r="CD89" s="173">
        <v>0</v>
      </c>
      <c r="CE89" s="173">
        <v>0</v>
      </c>
      <c r="CF89" s="177">
        <v>0</v>
      </c>
      <c r="CG89" s="2">
        <f>AS89*Weightings!$M$5*CF89</f>
        <v>0</v>
      </c>
      <c r="CH89" s="2">
        <f t="shared" si="174"/>
        <v>0</v>
      </c>
      <c r="CI89" s="117">
        <f t="shared" si="167"/>
        <v>0.497</v>
      </c>
      <c r="CJ89" s="4">
        <f t="shared" si="168"/>
        <v>0.6</v>
      </c>
      <c r="CK89" s="1">
        <f t="shared" si="175"/>
        <v>0</v>
      </c>
      <c r="CL89" s="1">
        <f t="shared" si="176"/>
        <v>0</v>
      </c>
      <c r="CM89" s="1">
        <f t="shared" si="177"/>
        <v>16.2</v>
      </c>
      <c r="CN89" s="1">
        <f>IF(ISNA(VLOOKUP($CZ89,'Audit Values'!$A$2:$AE$439,2,FALSE)),'Preliminary SO66'!T86,VLOOKUP($CZ89,'Audit Values'!$A$2:$AE$439,20,FALSE))</f>
        <v>0</v>
      </c>
      <c r="CO89" s="1">
        <f t="shared" si="182"/>
        <v>0</v>
      </c>
      <c r="CP89" s="183">
        <v>0</v>
      </c>
      <c r="CQ89" s="1">
        <f t="shared" si="183"/>
        <v>0</v>
      </c>
      <c r="CR89" s="2">
        <f>IF(ISNA(VLOOKUP($CZ89,'Audit Values'!$A$2:$AE$439,2,FALSE)),'Preliminary SO66'!V86,VLOOKUP($CZ89,'Audit Values'!$A$2:$AE$439,22,FALSE))</f>
        <v>0</v>
      </c>
      <c r="CS89" s="1">
        <f t="shared" si="184"/>
        <v>0</v>
      </c>
      <c r="CT89" s="2">
        <f>IF(ISNA(VLOOKUP($CZ89,'Audit Values'!$A$2:$AE$439,2,FALSE)),'Preliminary SO66'!W86,VLOOKUP($CZ89,'Audit Values'!$A$2:$AE$439,23,FALSE))</f>
        <v>0</v>
      </c>
      <c r="CU89" s="1">
        <f t="shared" si="189"/>
        <v>0</v>
      </c>
      <c r="CV89" s="1">
        <f t="shared" si="190"/>
        <v>0</v>
      </c>
      <c r="CW89" s="176">
        <v>0</v>
      </c>
      <c r="CX89" s="2">
        <f>IF(CW89&gt;0,Weightings!$M$11*AR89,0)</f>
        <v>0</v>
      </c>
      <c r="CY89" s="2">
        <f t="shared" si="178"/>
        <v>0</v>
      </c>
      <c r="CZ89" s="108" t="s">
        <v>381</v>
      </c>
    </row>
    <row r="90" spans="1:104">
      <c r="A90" s="82">
        <v>283</v>
      </c>
      <c r="B90" s="4" t="s">
        <v>41</v>
      </c>
      <c r="C90" s="4" t="s">
        <v>717</v>
      </c>
      <c r="D90" s="1">
        <v>162.6</v>
      </c>
      <c r="E90" s="1">
        <v>0</v>
      </c>
      <c r="F90" s="1">
        <f t="shared" si="187"/>
        <v>162.6</v>
      </c>
      <c r="G90" s="1">
        <v>151.5</v>
      </c>
      <c r="H90" s="1">
        <v>0</v>
      </c>
      <c r="I90" s="1">
        <f t="shared" si="142"/>
        <v>151.5</v>
      </c>
      <c r="J90" s="1">
        <f t="shared" si="143"/>
        <v>134.5</v>
      </c>
      <c r="K90" s="1">
        <f>IF(ISNA(VLOOKUP($CZ90,'Audit Values'!$A$2:$AE$439,2,FALSE)),'Preliminary SO66'!B87,VLOOKUP($CZ90,'Audit Values'!$A$2:$AE$439,31,FALSE))</f>
        <v>134.5</v>
      </c>
      <c r="L90" s="1">
        <f t="shared" si="144"/>
        <v>151.5</v>
      </c>
      <c r="M90" s="1">
        <f>IF(ISNA(VLOOKUP($CZ90,'Audit Values'!$A$2:$AE$439,2,FALSE)),'Preliminary SO66'!Z87,VLOOKUP($CZ90,'Audit Values'!$A$2:$AE$439,26,FALSE))</f>
        <v>0</v>
      </c>
      <c r="N90" s="1">
        <f t="shared" si="145"/>
        <v>151.5</v>
      </c>
      <c r="O90" s="1">
        <f>IF(ISNA(VLOOKUP($CZ90,'Audit Values'!$A$2:$AE$439,2,FALSE)),'Preliminary SO66'!C87,IF(VLOOKUP($CZ90,'Audit Values'!$A$2:$AE$439,28,FALSE)="",VLOOKUP($CZ90,'Audit Values'!$A$2:$AE$439,3,FALSE),VLOOKUP($CZ90,'Audit Values'!$A$2:$AE$439,28,FALSE)))</f>
        <v>2.5</v>
      </c>
      <c r="P90" s="109">
        <f t="shared" si="146"/>
        <v>137</v>
      </c>
      <c r="Q90" s="110">
        <f t="shared" si="147"/>
        <v>137</v>
      </c>
      <c r="R90" s="111">
        <f t="shared" si="148"/>
        <v>137</v>
      </c>
      <c r="S90" s="1">
        <f t="shared" si="149"/>
        <v>154</v>
      </c>
      <c r="T90" s="1">
        <f t="shared" si="185"/>
        <v>0</v>
      </c>
      <c r="U90" s="1">
        <f t="shared" si="150"/>
        <v>134.19999999999999</v>
      </c>
      <c r="V90" s="1">
        <f t="shared" si="179"/>
        <v>134.19999999999999</v>
      </c>
      <c r="W90" s="1">
        <f t="shared" si="180"/>
        <v>0</v>
      </c>
      <c r="X90" s="1">
        <f>IF(ISNA(VLOOKUP($CZ90,'Audit Values'!$A$2:$AE$439,2,FALSE)),'Preliminary SO66'!D87,VLOOKUP($CZ90,'Audit Values'!$A$2:$AE$439,4,FALSE))</f>
        <v>94.8</v>
      </c>
      <c r="Y90" s="1">
        <f>ROUND((X90/6)*Weightings!$M$6,1)</f>
        <v>7.9</v>
      </c>
      <c r="Z90" s="1">
        <f>IF(ISNA(VLOOKUP($CZ90,'Audit Values'!$A$2:$AE$439,2,FALSE)),'Preliminary SO66'!F87,VLOOKUP($CZ90,'Audit Values'!$A$2:$AE$439,6,FALSE))</f>
        <v>0</v>
      </c>
      <c r="AA90" s="1">
        <f>ROUND((Z90/6)*Weightings!$M$7,1)</f>
        <v>0</v>
      </c>
      <c r="AB90" s="2">
        <f>IF(ISNA(VLOOKUP($CZ90,'Audit Values'!$A$2:$AE$439,2,FALSE)),'Preliminary SO66'!H87,VLOOKUP($CZ90,'Audit Values'!$A$2:$AE$439,8,FALSE))</f>
        <v>90</v>
      </c>
      <c r="AC90" s="1">
        <f>ROUND(AB90*Weightings!$M$8,1)</f>
        <v>41</v>
      </c>
      <c r="AD90" s="1">
        <f t="shared" si="169"/>
        <v>9.5</v>
      </c>
      <c r="AE90" s="185">
        <v>11</v>
      </c>
      <c r="AF90" s="1">
        <f>AE90*Weightings!$M$9</f>
        <v>0.5</v>
      </c>
      <c r="AG90" s="1">
        <f>IF(ISNA(VLOOKUP($CZ90,'Audit Values'!$A$2:$AE$439,2,FALSE)),'Preliminary SO66'!L87,VLOOKUP($CZ90,'Audit Values'!$A$2:$AE$439,12,FALSE))</f>
        <v>0</v>
      </c>
      <c r="AH90" s="1">
        <f>ROUND(AG90*Weightings!$M$10,1)</f>
        <v>0</v>
      </c>
      <c r="AI90" s="1">
        <f>IF(ISNA(VLOOKUP($CZ90,'Audit Values'!$A$2:$AE$439,2,FALSE)),'Preliminary SO66'!O87,VLOOKUP($CZ90,'Audit Values'!$A$2:$AE$439,15,FALSE))</f>
        <v>31.5</v>
      </c>
      <c r="AJ90" s="1">
        <f t="shared" si="151"/>
        <v>11.9</v>
      </c>
      <c r="AK90" s="1">
        <f>CC90/Weightings!$M$5</f>
        <v>0</v>
      </c>
      <c r="AL90" s="1">
        <f>CD90/Weightings!$M$5</f>
        <v>0</v>
      </c>
      <c r="AM90" s="1">
        <f>CH90/Weightings!$M$5</f>
        <v>0</v>
      </c>
      <c r="AN90" s="1">
        <f t="shared" si="181"/>
        <v>0</v>
      </c>
      <c r="AO90" s="1">
        <f>IF(ISNA(VLOOKUP($CZ90,'Audit Values'!$A$2:$AE$439,2,FALSE)),'Preliminary SO66'!X87,VLOOKUP($CZ90,'Audit Values'!$A$2:$AE$439,24,FALSE))</f>
        <v>0</v>
      </c>
      <c r="AP90" s="188">
        <v>276260</v>
      </c>
      <c r="AQ90" s="113">
        <f>AP90/Weightings!$M$5</f>
        <v>72</v>
      </c>
      <c r="AR90" s="113">
        <f t="shared" si="152"/>
        <v>359</v>
      </c>
      <c r="AS90" s="1">
        <f t="shared" si="153"/>
        <v>431</v>
      </c>
      <c r="AT90" s="1">
        <f t="shared" si="154"/>
        <v>431</v>
      </c>
      <c r="AU90" s="2">
        <f t="shared" si="170"/>
        <v>0</v>
      </c>
      <c r="AV90" s="82">
        <f>IF(ISNA(VLOOKUP($CZ90,'Audit Values'!$A$2:$AC$360,2,FALSE)),"",IF(AND(Weightings!H90&gt;0,VLOOKUP($CZ90,'Audit Values'!$A$2:$AC$360,29,FALSE)&lt;Weightings!H90),Weightings!H90,VLOOKUP($CZ90,'Audit Values'!$A$2:$AC$360,29,FALSE)))</f>
        <v>13</v>
      </c>
      <c r="AW90" s="82" t="str">
        <f>IF(ISNA(VLOOKUP($CZ90,'Audit Values'!$A$2:$AD$360,2,FALSE)),"",VLOOKUP($CZ90,'Audit Values'!$A$2:$AD$360,30,FALSE))</f>
        <v>A</v>
      </c>
      <c r="AX90" s="82" t="str">
        <f>IF(Weightings!G90="","",IF(Weightings!I90="Pending","PX","R"))</f>
        <v/>
      </c>
      <c r="AY90" s="114">
        <f>AR90*Weightings!$M$5+AU90</f>
        <v>1377842</v>
      </c>
      <c r="AZ90" s="2">
        <f>AT90*Weightings!$M$5+AU90</f>
        <v>1654178</v>
      </c>
      <c r="BA90" s="2">
        <f>IF(Weightings!G90&gt;0,Weightings!G90,'Preliminary SO66'!AB87)</f>
        <v>1767783</v>
      </c>
      <c r="BB90" s="2">
        <f t="shared" si="155"/>
        <v>1654178</v>
      </c>
      <c r="BC90" s="124"/>
      <c r="BD90" s="124">
        <f>Weightings!E90</f>
        <v>0</v>
      </c>
      <c r="BE90" s="124">
        <f>Weightings!F90</f>
        <v>0</v>
      </c>
      <c r="BF90" s="2">
        <f t="shared" si="156"/>
        <v>0</v>
      </c>
      <c r="BG90" s="2">
        <f t="shared" si="157"/>
        <v>1654178</v>
      </c>
      <c r="BH90" s="2">
        <f>MAX(ROUND(((AR90-AO90)*4433)+AP90,0),ROUND(((AR90-AO90)*4433)+Weightings!B90,0))</f>
        <v>1891359</v>
      </c>
      <c r="BI90" s="174">
        <v>0.3</v>
      </c>
      <c r="BJ90" s="2">
        <f t="shared" si="188"/>
        <v>567408</v>
      </c>
      <c r="BK90" s="173">
        <v>335000</v>
      </c>
      <c r="BL90" s="2">
        <f t="shared" si="158"/>
        <v>335000</v>
      </c>
      <c r="BM90" s="3">
        <f t="shared" si="171"/>
        <v>0.17710000000000001</v>
      </c>
      <c r="BN90" s="1">
        <f t="shared" si="159"/>
        <v>0</v>
      </c>
      <c r="BO90" s="4" t="b">
        <f t="shared" si="160"/>
        <v>1</v>
      </c>
      <c r="BP90" s="5">
        <f t="shared" si="161"/>
        <v>521.37</v>
      </c>
      <c r="BQ90" s="6">
        <f t="shared" si="140"/>
        <v>0.87119199999999997</v>
      </c>
      <c r="BR90" s="4">
        <f t="shared" si="162"/>
        <v>134.19999999999999</v>
      </c>
      <c r="BS90" s="4" t="b">
        <f t="shared" si="163"/>
        <v>0</v>
      </c>
      <c r="BT90" s="4">
        <f t="shared" si="164"/>
        <v>0</v>
      </c>
      <c r="BU90" s="6">
        <f t="shared" si="141"/>
        <v>0</v>
      </c>
      <c r="BV90" s="1">
        <f t="shared" si="165"/>
        <v>0</v>
      </c>
      <c r="BW90" s="1">
        <f t="shared" si="166"/>
        <v>0</v>
      </c>
      <c r="BX90" s="116">
        <v>160</v>
      </c>
      <c r="BY90" s="7">
        <f t="shared" si="172"/>
        <v>0.2</v>
      </c>
      <c r="BZ90" s="7">
        <f>IF(ROUND((Weightings!$P$5*BY90^Weightings!$P$6*Weightings!$P$8 ),2)&lt;Weightings!$P$7,Weightings!$P$7,ROUND((Weightings!$P$5*BY90^Weightings!$P$6*Weightings!$P$8 ),2))</f>
        <v>1446.8</v>
      </c>
      <c r="CA90" s="8">
        <f>ROUND(BZ90/Weightings!$M$5,4)</f>
        <v>0.377</v>
      </c>
      <c r="CB90" s="1">
        <f t="shared" si="173"/>
        <v>11.9</v>
      </c>
      <c r="CC90" s="173">
        <v>0</v>
      </c>
      <c r="CD90" s="173">
        <v>0</v>
      </c>
      <c r="CE90" s="173">
        <v>0</v>
      </c>
      <c r="CF90" s="177">
        <v>0</v>
      </c>
      <c r="CG90" s="2">
        <f>AS90*Weightings!$M$5*CF90</f>
        <v>0</v>
      </c>
      <c r="CH90" s="2">
        <f t="shared" si="174"/>
        <v>0</v>
      </c>
      <c r="CI90" s="117">
        <f t="shared" si="167"/>
        <v>0.58399999999999996</v>
      </c>
      <c r="CJ90" s="4">
        <f t="shared" si="168"/>
        <v>1</v>
      </c>
      <c r="CK90" s="1">
        <f t="shared" si="175"/>
        <v>9.5</v>
      </c>
      <c r="CL90" s="1">
        <f t="shared" si="176"/>
        <v>0</v>
      </c>
      <c r="CM90" s="1">
        <f t="shared" si="177"/>
        <v>0</v>
      </c>
      <c r="CN90" s="1">
        <f>IF(ISNA(VLOOKUP($CZ90,'Audit Values'!$A$2:$AE$439,2,FALSE)),'Preliminary SO66'!T87,VLOOKUP($CZ90,'Audit Values'!$A$2:$AE$439,20,FALSE))</f>
        <v>0</v>
      </c>
      <c r="CO90" s="1">
        <f t="shared" si="182"/>
        <v>0</v>
      </c>
      <c r="CP90" s="183">
        <v>0</v>
      </c>
      <c r="CQ90" s="1">
        <f t="shared" si="183"/>
        <v>0</v>
      </c>
      <c r="CR90" s="2">
        <f>IF(ISNA(VLOOKUP($CZ90,'Audit Values'!$A$2:$AE$439,2,FALSE)),'Preliminary SO66'!V87,VLOOKUP($CZ90,'Audit Values'!$A$2:$AE$439,22,FALSE))</f>
        <v>0</v>
      </c>
      <c r="CS90" s="1">
        <f t="shared" si="184"/>
        <v>0</v>
      </c>
      <c r="CT90" s="2">
        <f>IF(ISNA(VLOOKUP($CZ90,'Audit Values'!$A$2:$AE$439,2,FALSE)),'Preliminary SO66'!W87,VLOOKUP($CZ90,'Audit Values'!$A$2:$AE$439,23,FALSE))</f>
        <v>0</v>
      </c>
      <c r="CU90" s="1">
        <f t="shared" si="189"/>
        <v>0</v>
      </c>
      <c r="CV90" s="1">
        <f t="shared" si="190"/>
        <v>0</v>
      </c>
      <c r="CW90" s="176">
        <v>0</v>
      </c>
      <c r="CX90" s="2">
        <f>IF(CW90&gt;0,Weightings!$M$11*AR90,0)</f>
        <v>0</v>
      </c>
      <c r="CY90" s="2">
        <f t="shared" si="178"/>
        <v>0</v>
      </c>
      <c r="CZ90" s="108" t="s">
        <v>382</v>
      </c>
    </row>
    <row r="91" spans="1:104">
      <c r="A91" s="82">
        <v>284</v>
      </c>
      <c r="B91" s="4" t="s">
        <v>42</v>
      </c>
      <c r="C91" s="4" t="s">
        <v>718</v>
      </c>
      <c r="D91" s="1">
        <v>364</v>
      </c>
      <c r="E91" s="1">
        <v>0</v>
      </c>
      <c r="F91" s="1">
        <f t="shared" si="187"/>
        <v>364</v>
      </c>
      <c r="G91" s="1">
        <v>347</v>
      </c>
      <c r="H91" s="1">
        <v>0</v>
      </c>
      <c r="I91" s="1">
        <f t="shared" si="142"/>
        <v>347</v>
      </c>
      <c r="J91" s="1">
        <f t="shared" si="143"/>
        <v>364.5</v>
      </c>
      <c r="K91" s="1">
        <f>IF(ISNA(VLOOKUP($CZ91,'Audit Values'!$A$2:$AE$439,2,FALSE)),'Preliminary SO66'!B88,VLOOKUP($CZ91,'Audit Values'!$A$2:$AE$439,31,FALSE))</f>
        <v>364.5</v>
      </c>
      <c r="L91" s="1">
        <f t="shared" si="144"/>
        <v>364.5</v>
      </c>
      <c r="M91" s="1">
        <f>IF(ISNA(VLOOKUP($CZ91,'Audit Values'!$A$2:$AE$439,2,FALSE)),'Preliminary SO66'!Z88,VLOOKUP($CZ91,'Audit Values'!$A$2:$AE$439,26,FALSE))</f>
        <v>0</v>
      </c>
      <c r="N91" s="1">
        <f t="shared" si="145"/>
        <v>364.5</v>
      </c>
      <c r="O91" s="1">
        <f>IF(ISNA(VLOOKUP($CZ91,'Audit Values'!$A$2:$AE$439,2,FALSE)),'Preliminary SO66'!C88,IF(VLOOKUP($CZ91,'Audit Values'!$A$2:$AE$439,28,FALSE)="",VLOOKUP($CZ91,'Audit Values'!$A$2:$AE$439,3,FALSE),VLOOKUP($CZ91,'Audit Values'!$A$2:$AE$439,28,FALSE)))</f>
        <v>0</v>
      </c>
      <c r="P91" s="109">
        <f t="shared" si="146"/>
        <v>364.5</v>
      </c>
      <c r="Q91" s="110">
        <f t="shared" si="147"/>
        <v>364.5</v>
      </c>
      <c r="R91" s="111">
        <f t="shared" si="148"/>
        <v>364.5</v>
      </c>
      <c r="S91" s="1">
        <f t="shared" si="149"/>
        <v>364.5</v>
      </c>
      <c r="T91" s="1">
        <f t="shared" si="185"/>
        <v>0</v>
      </c>
      <c r="U91" s="1">
        <f t="shared" si="150"/>
        <v>168.5</v>
      </c>
      <c r="V91" s="1">
        <f t="shared" si="179"/>
        <v>168.5</v>
      </c>
      <c r="W91" s="1">
        <f t="shared" si="180"/>
        <v>0</v>
      </c>
      <c r="X91" s="1">
        <f>IF(ISNA(VLOOKUP($CZ91,'Audit Values'!$A$2:$AE$439,2,FALSE)),'Preliminary SO66'!D88,VLOOKUP($CZ91,'Audit Values'!$A$2:$AE$439,4,FALSE))</f>
        <v>106.8</v>
      </c>
      <c r="Y91" s="1">
        <f>ROUND((X91/6)*Weightings!$M$6,1)</f>
        <v>8.9</v>
      </c>
      <c r="Z91" s="1">
        <f>IF(ISNA(VLOOKUP($CZ91,'Audit Values'!$A$2:$AE$439,2,FALSE)),'Preliminary SO66'!F88,VLOOKUP($CZ91,'Audit Values'!$A$2:$AE$439,6,FALSE))</f>
        <v>0</v>
      </c>
      <c r="AA91" s="1">
        <f>ROUND((Z91/6)*Weightings!$M$7,1)</f>
        <v>0</v>
      </c>
      <c r="AB91" s="2">
        <f>IF(ISNA(VLOOKUP($CZ91,'Audit Values'!$A$2:$AE$439,2,FALSE)),'Preliminary SO66'!H88,VLOOKUP($CZ91,'Audit Values'!$A$2:$AE$439,8,FALSE))</f>
        <v>112</v>
      </c>
      <c r="AC91" s="1">
        <f>ROUND(AB91*Weightings!$M$8,1)</f>
        <v>51.1</v>
      </c>
      <c r="AD91" s="1">
        <f t="shared" si="169"/>
        <v>0</v>
      </c>
      <c r="AE91" s="185">
        <v>12</v>
      </c>
      <c r="AF91" s="1">
        <f>AE91*Weightings!$M$9</f>
        <v>0.6</v>
      </c>
      <c r="AG91" s="1">
        <f>IF(ISNA(VLOOKUP($CZ91,'Audit Values'!$A$2:$AE$439,2,FALSE)),'Preliminary SO66'!L88,VLOOKUP($CZ91,'Audit Values'!$A$2:$AE$439,12,FALSE))</f>
        <v>0</v>
      </c>
      <c r="AH91" s="1">
        <f>ROUND(AG91*Weightings!$M$10,1)</f>
        <v>0</v>
      </c>
      <c r="AI91" s="1">
        <f>IF(ISNA(VLOOKUP($CZ91,'Audit Values'!$A$2:$AE$439,2,FALSE)),'Preliminary SO66'!O88,VLOOKUP($CZ91,'Audit Values'!$A$2:$AE$439,15,FALSE))</f>
        <v>186</v>
      </c>
      <c r="AJ91" s="1">
        <f t="shared" si="151"/>
        <v>67.3</v>
      </c>
      <c r="AK91" s="1">
        <f>CC91/Weightings!$M$5</f>
        <v>0</v>
      </c>
      <c r="AL91" s="1">
        <f>CD91/Weightings!$M$5</f>
        <v>0</v>
      </c>
      <c r="AM91" s="1">
        <f>CH91/Weightings!$M$5</f>
        <v>0</v>
      </c>
      <c r="AN91" s="1">
        <f t="shared" si="181"/>
        <v>0</v>
      </c>
      <c r="AO91" s="1">
        <f>IF(ISNA(VLOOKUP($CZ91,'Audit Values'!$A$2:$AE$439,2,FALSE)),'Preliminary SO66'!X88,VLOOKUP($CZ91,'Audit Values'!$A$2:$AE$439,24,FALSE))</f>
        <v>0</v>
      </c>
      <c r="AP91" s="188">
        <v>367168</v>
      </c>
      <c r="AQ91" s="113">
        <f>AP91/Weightings!$M$5</f>
        <v>95.7</v>
      </c>
      <c r="AR91" s="113">
        <f t="shared" si="152"/>
        <v>660.9</v>
      </c>
      <c r="AS91" s="1">
        <f t="shared" si="153"/>
        <v>756.6</v>
      </c>
      <c r="AT91" s="1">
        <f t="shared" si="154"/>
        <v>756.6</v>
      </c>
      <c r="AU91" s="2">
        <f t="shared" si="170"/>
        <v>0</v>
      </c>
      <c r="AV91" s="82">
        <f>IF(ISNA(VLOOKUP($CZ91,'Audit Values'!$A$2:$AC$360,2,FALSE)),"",IF(AND(Weightings!H91&gt;0,VLOOKUP($CZ91,'Audit Values'!$A$2:$AC$360,29,FALSE)&lt;Weightings!H91),Weightings!H91,VLOOKUP($CZ91,'Audit Values'!$A$2:$AC$360,29,FALSE)))</f>
        <v>25</v>
      </c>
      <c r="AW91" s="82" t="str">
        <f>IF(ISNA(VLOOKUP($CZ91,'Audit Values'!$A$2:$AD$360,2,FALSE)),"",VLOOKUP($CZ91,'Audit Values'!$A$2:$AD$360,30,FALSE))</f>
        <v>A</v>
      </c>
      <c r="AX91" s="82" t="str">
        <f>IF(Weightings!G91="","",IF(Weightings!I91="Pending","PX","R"))</f>
        <v>R</v>
      </c>
      <c r="AY91" s="114">
        <f>AR91*Weightings!$M$5+AU91</f>
        <v>2536534</v>
      </c>
      <c r="AZ91" s="2">
        <f>AT91*Weightings!$M$5+AU91</f>
        <v>2903831</v>
      </c>
      <c r="BA91" s="2">
        <f>IF(Weightings!G91&gt;0,Weightings!G91,'Preliminary SO66'!AB88)</f>
        <v>2929545</v>
      </c>
      <c r="BB91" s="2">
        <f t="shared" si="155"/>
        <v>2903831</v>
      </c>
      <c r="BC91" s="124"/>
      <c r="BD91" s="124">
        <f>Weightings!E91</f>
        <v>0</v>
      </c>
      <c r="BE91" s="124">
        <f>Weightings!F91</f>
        <v>0</v>
      </c>
      <c r="BF91" s="2">
        <f t="shared" si="156"/>
        <v>0</v>
      </c>
      <c r="BG91" s="2">
        <f t="shared" si="157"/>
        <v>2903831</v>
      </c>
      <c r="BH91" s="2">
        <f>MAX(ROUND(((AR91-AO91)*4433)+AP91,0),ROUND(((AR91-AO91)*4433)+Weightings!B91,0))</f>
        <v>3372827</v>
      </c>
      <c r="BI91" s="174">
        <v>0.3</v>
      </c>
      <c r="BJ91" s="2">
        <f t="shared" si="188"/>
        <v>1011848</v>
      </c>
      <c r="BK91" s="173">
        <v>975542</v>
      </c>
      <c r="BL91" s="2">
        <f t="shared" si="158"/>
        <v>975542</v>
      </c>
      <c r="BM91" s="3">
        <f t="shared" si="171"/>
        <v>0.28920000000000001</v>
      </c>
      <c r="BN91" s="1">
        <f t="shared" si="159"/>
        <v>0</v>
      </c>
      <c r="BO91" s="4" t="b">
        <f t="shared" si="160"/>
        <v>0</v>
      </c>
      <c r="BP91" s="5">
        <f t="shared" si="161"/>
        <v>0</v>
      </c>
      <c r="BQ91" s="6">
        <f t="shared" si="140"/>
        <v>0</v>
      </c>
      <c r="BR91" s="4">
        <f t="shared" si="162"/>
        <v>0</v>
      </c>
      <c r="BS91" s="4" t="b">
        <f t="shared" si="163"/>
        <v>1</v>
      </c>
      <c r="BT91" s="4">
        <f t="shared" si="164"/>
        <v>79.818799999999996</v>
      </c>
      <c r="BU91" s="6">
        <f t="shared" si="141"/>
        <v>0.46227200000000002</v>
      </c>
      <c r="BV91" s="1">
        <f t="shared" si="165"/>
        <v>168.5</v>
      </c>
      <c r="BW91" s="1">
        <f t="shared" si="166"/>
        <v>0</v>
      </c>
      <c r="BX91" s="116">
        <v>780</v>
      </c>
      <c r="BY91" s="7">
        <f t="shared" si="172"/>
        <v>0.24</v>
      </c>
      <c r="BZ91" s="7">
        <f>IF(ROUND((Weightings!$P$5*BY91^Weightings!$P$6*Weightings!$P$8 ),2)&lt;Weightings!$P$7,Weightings!$P$7,ROUND((Weightings!$P$5*BY91^Weightings!$P$6*Weightings!$P$8 ),2))</f>
        <v>1387.87</v>
      </c>
      <c r="CA91" s="8">
        <f>ROUND(BZ91/Weightings!$M$5,4)</f>
        <v>0.36159999999999998</v>
      </c>
      <c r="CB91" s="1">
        <f t="shared" si="173"/>
        <v>67.3</v>
      </c>
      <c r="CC91" s="173">
        <v>0</v>
      </c>
      <c r="CD91" s="173">
        <v>0</v>
      </c>
      <c r="CE91" s="173">
        <v>0</v>
      </c>
      <c r="CF91" s="177">
        <v>0</v>
      </c>
      <c r="CG91" s="2">
        <f>AS91*Weightings!$M$5*CF91</f>
        <v>0</v>
      </c>
      <c r="CH91" s="2">
        <f t="shared" si="174"/>
        <v>0</v>
      </c>
      <c r="CI91" s="117">
        <f t="shared" si="167"/>
        <v>0.307</v>
      </c>
      <c r="CJ91" s="4">
        <f t="shared" si="168"/>
        <v>0.5</v>
      </c>
      <c r="CK91" s="1">
        <f t="shared" si="175"/>
        <v>0</v>
      </c>
      <c r="CL91" s="1">
        <f t="shared" si="176"/>
        <v>0</v>
      </c>
      <c r="CM91" s="1">
        <f t="shared" si="177"/>
        <v>0</v>
      </c>
      <c r="CN91" s="1">
        <f>IF(ISNA(VLOOKUP($CZ91,'Audit Values'!$A$2:$AE$439,2,FALSE)),'Preliminary SO66'!T88,VLOOKUP($CZ91,'Audit Values'!$A$2:$AE$439,20,FALSE))</f>
        <v>0</v>
      </c>
      <c r="CO91" s="1">
        <f t="shared" si="182"/>
        <v>0</v>
      </c>
      <c r="CP91" s="183">
        <v>0</v>
      </c>
      <c r="CQ91" s="1">
        <f t="shared" si="183"/>
        <v>0</v>
      </c>
      <c r="CR91" s="2">
        <f>IF(ISNA(VLOOKUP($CZ91,'Audit Values'!$A$2:$AE$439,2,FALSE)),'Preliminary SO66'!V88,VLOOKUP($CZ91,'Audit Values'!$A$2:$AE$439,22,FALSE))</f>
        <v>0</v>
      </c>
      <c r="CS91" s="1">
        <f t="shared" si="184"/>
        <v>0</v>
      </c>
      <c r="CT91" s="2">
        <f>IF(ISNA(VLOOKUP($CZ91,'Audit Values'!$A$2:$AE$439,2,FALSE)),'Preliminary SO66'!W88,VLOOKUP($CZ91,'Audit Values'!$A$2:$AE$439,23,FALSE))</f>
        <v>0</v>
      </c>
      <c r="CU91" s="1">
        <f t="shared" si="189"/>
        <v>0</v>
      </c>
      <c r="CV91" s="1">
        <f t="shared" si="190"/>
        <v>0</v>
      </c>
      <c r="CW91" s="176">
        <v>0</v>
      </c>
      <c r="CX91" s="2">
        <f>IF(CW91&gt;0,Weightings!$M$11*AR91,0)</f>
        <v>0</v>
      </c>
      <c r="CY91" s="2">
        <f t="shared" si="178"/>
        <v>0</v>
      </c>
      <c r="CZ91" s="108" t="s">
        <v>383</v>
      </c>
    </row>
    <row r="92" spans="1:104">
      <c r="A92" s="82">
        <v>285</v>
      </c>
      <c r="B92" s="4" t="s">
        <v>43</v>
      </c>
      <c r="C92" s="4" t="s">
        <v>719</v>
      </c>
      <c r="D92" s="1">
        <v>149.4</v>
      </c>
      <c r="E92" s="1">
        <v>0</v>
      </c>
      <c r="F92" s="1">
        <f t="shared" si="187"/>
        <v>149.4</v>
      </c>
      <c r="G92" s="1">
        <v>168.2</v>
      </c>
      <c r="H92" s="1">
        <v>0</v>
      </c>
      <c r="I92" s="1">
        <f t="shared" si="142"/>
        <v>168.2</v>
      </c>
      <c r="J92" s="1">
        <f t="shared" si="143"/>
        <v>163.19999999999999</v>
      </c>
      <c r="K92" s="1">
        <f>IF(ISNA(VLOOKUP($CZ92,'Audit Values'!$A$2:$AE$439,2,FALSE)),'Preliminary SO66'!B89,VLOOKUP($CZ92,'Audit Values'!$A$2:$AE$439,31,FALSE))</f>
        <v>163.19999999999999</v>
      </c>
      <c r="L92" s="1">
        <f t="shared" si="144"/>
        <v>168.2</v>
      </c>
      <c r="M92" s="1">
        <f>IF(ISNA(VLOOKUP($CZ92,'Audit Values'!$A$2:$AE$439,2,FALSE)),'Preliminary SO66'!Z89,VLOOKUP($CZ92,'Audit Values'!$A$2:$AE$439,26,FALSE))</f>
        <v>0</v>
      </c>
      <c r="N92" s="1">
        <f t="shared" si="145"/>
        <v>168.2</v>
      </c>
      <c r="O92" s="1">
        <f>IF(ISNA(VLOOKUP($CZ92,'Audit Values'!$A$2:$AE$439,2,FALSE)),'Preliminary SO66'!C89,IF(VLOOKUP($CZ92,'Audit Values'!$A$2:$AE$439,28,FALSE)="",VLOOKUP($CZ92,'Audit Values'!$A$2:$AE$439,3,FALSE),VLOOKUP($CZ92,'Audit Values'!$A$2:$AE$439,28,FALSE)))</f>
        <v>0</v>
      </c>
      <c r="P92" s="109">
        <f t="shared" si="146"/>
        <v>163.19999999999999</v>
      </c>
      <c r="Q92" s="110">
        <f t="shared" si="147"/>
        <v>163.19999999999999</v>
      </c>
      <c r="R92" s="111">
        <f t="shared" si="148"/>
        <v>163.19999999999999</v>
      </c>
      <c r="S92" s="1">
        <f t="shared" si="149"/>
        <v>168.2</v>
      </c>
      <c r="T92" s="1">
        <f t="shared" si="185"/>
        <v>0</v>
      </c>
      <c r="U92" s="1">
        <f t="shared" si="150"/>
        <v>140.19999999999999</v>
      </c>
      <c r="V92" s="1">
        <f t="shared" si="179"/>
        <v>140.19999999999999</v>
      </c>
      <c r="W92" s="1">
        <f t="shared" si="180"/>
        <v>0</v>
      </c>
      <c r="X92" s="1">
        <f>IF(ISNA(VLOOKUP($CZ92,'Audit Values'!$A$2:$AE$439,2,FALSE)),'Preliminary SO66'!D89,VLOOKUP($CZ92,'Audit Values'!$A$2:$AE$439,4,FALSE))</f>
        <v>0</v>
      </c>
      <c r="Y92" s="1">
        <f>ROUND((X92/6)*Weightings!$M$6,1)</f>
        <v>0</v>
      </c>
      <c r="Z92" s="1">
        <f>IF(ISNA(VLOOKUP($CZ92,'Audit Values'!$A$2:$AE$439,2,FALSE)),'Preliminary SO66'!F89,VLOOKUP($CZ92,'Audit Values'!$A$2:$AE$439,6,FALSE))</f>
        <v>0</v>
      </c>
      <c r="AA92" s="1">
        <f>ROUND((Z92/6)*Weightings!$M$7,1)</f>
        <v>0</v>
      </c>
      <c r="AB92" s="2">
        <f>IF(ISNA(VLOOKUP($CZ92,'Audit Values'!$A$2:$AE$439,2,FALSE)),'Preliminary SO66'!H89,VLOOKUP($CZ92,'Audit Values'!$A$2:$AE$439,8,FALSE))</f>
        <v>89</v>
      </c>
      <c r="AC92" s="1">
        <f>ROUND(AB92*Weightings!$M$8,1)</f>
        <v>40.6</v>
      </c>
      <c r="AD92" s="1">
        <f t="shared" si="169"/>
        <v>9.3000000000000007</v>
      </c>
      <c r="AE92" s="185">
        <v>7</v>
      </c>
      <c r="AF92" s="1">
        <f>AE92*Weightings!$M$9</f>
        <v>0.3</v>
      </c>
      <c r="AG92" s="1">
        <f>IF(ISNA(VLOOKUP($CZ92,'Audit Values'!$A$2:$AE$439,2,FALSE)),'Preliminary SO66'!L89,VLOOKUP($CZ92,'Audit Values'!$A$2:$AE$439,12,FALSE))</f>
        <v>0</v>
      </c>
      <c r="AH92" s="1">
        <f>ROUND(AG92*Weightings!$M$10,1)</f>
        <v>0</v>
      </c>
      <c r="AI92" s="1">
        <f>IF(ISNA(VLOOKUP($CZ92,'Audit Values'!$A$2:$AE$439,2,FALSE)),'Preliminary SO66'!O89,VLOOKUP($CZ92,'Audit Values'!$A$2:$AE$439,15,FALSE))</f>
        <v>27</v>
      </c>
      <c r="AJ92" s="1">
        <f t="shared" si="151"/>
        <v>11.9</v>
      </c>
      <c r="AK92" s="1">
        <f>CC92/Weightings!$M$5</f>
        <v>0</v>
      </c>
      <c r="AL92" s="1">
        <f>CD92/Weightings!$M$5</f>
        <v>0</v>
      </c>
      <c r="AM92" s="1">
        <f>CH92/Weightings!$M$5</f>
        <v>0</v>
      </c>
      <c r="AN92" s="1">
        <f t="shared" si="181"/>
        <v>0</v>
      </c>
      <c r="AO92" s="1">
        <f>IF(ISNA(VLOOKUP($CZ92,'Audit Values'!$A$2:$AE$439,2,FALSE)),'Preliminary SO66'!X89,VLOOKUP($CZ92,'Audit Values'!$A$2:$AE$439,24,FALSE))</f>
        <v>0</v>
      </c>
      <c r="AP92" s="188">
        <v>170452</v>
      </c>
      <c r="AQ92" s="113">
        <f>AP92/Weightings!$M$5</f>
        <v>44.4</v>
      </c>
      <c r="AR92" s="113">
        <f t="shared" si="152"/>
        <v>370.5</v>
      </c>
      <c r="AS92" s="1">
        <f t="shared" si="153"/>
        <v>414.9</v>
      </c>
      <c r="AT92" s="1">
        <f t="shared" si="154"/>
        <v>414.9</v>
      </c>
      <c r="AU92" s="2">
        <f t="shared" si="170"/>
        <v>0</v>
      </c>
      <c r="AV92" s="82">
        <f>IF(ISNA(VLOOKUP($CZ92,'Audit Values'!$A$2:$AC$360,2,FALSE)),"",IF(AND(Weightings!H92&gt;0,VLOOKUP($CZ92,'Audit Values'!$A$2:$AC$360,29,FALSE)&lt;Weightings!H92),Weightings!H92,VLOOKUP($CZ92,'Audit Values'!$A$2:$AC$360,29,FALSE)))</f>
        <v>13</v>
      </c>
      <c r="AW92" s="82" t="str">
        <f>IF(ISNA(VLOOKUP($CZ92,'Audit Values'!$A$2:$AD$360,2,FALSE)),"",VLOOKUP($CZ92,'Audit Values'!$A$2:$AD$360,30,FALSE))</f>
        <v>A</v>
      </c>
      <c r="AX92" s="82" t="str">
        <f>IF(Weightings!G92="","",IF(Weightings!I92="Pending","PX","R"))</f>
        <v/>
      </c>
      <c r="AY92" s="114">
        <f>AR92*Weightings!$M$5+AU92</f>
        <v>1421979</v>
      </c>
      <c r="AZ92" s="2">
        <f>AT92*Weightings!$M$5+AU92</f>
        <v>1592386</v>
      </c>
      <c r="BA92" s="2">
        <f>IF(Weightings!G92&gt;0,Weightings!G92,'Preliminary SO66'!AB89)</f>
        <v>1712516</v>
      </c>
      <c r="BB92" s="2">
        <f t="shared" si="155"/>
        <v>1592386</v>
      </c>
      <c r="BC92" s="124"/>
      <c r="BD92" s="124">
        <f>Weightings!E92</f>
        <v>0</v>
      </c>
      <c r="BE92" s="124">
        <f>Weightings!F92</f>
        <v>0</v>
      </c>
      <c r="BF92" s="2">
        <f t="shared" si="156"/>
        <v>0</v>
      </c>
      <c r="BG92" s="2">
        <f t="shared" si="157"/>
        <v>1592386</v>
      </c>
      <c r="BH92" s="2">
        <f>MAX(ROUND(((AR92-AO92)*4433)+AP92,0),ROUND(((AR92-AO92)*4433)+Weightings!B92,0))</f>
        <v>1812879</v>
      </c>
      <c r="BI92" s="174">
        <v>0.3</v>
      </c>
      <c r="BJ92" s="2">
        <f t="shared" si="188"/>
        <v>543864</v>
      </c>
      <c r="BK92" s="173">
        <v>395000</v>
      </c>
      <c r="BL92" s="2">
        <f t="shared" si="158"/>
        <v>395000</v>
      </c>
      <c r="BM92" s="3">
        <f t="shared" si="171"/>
        <v>0.21790000000000001</v>
      </c>
      <c r="BN92" s="1">
        <f t="shared" si="159"/>
        <v>0</v>
      </c>
      <c r="BO92" s="4" t="b">
        <f t="shared" si="160"/>
        <v>1</v>
      </c>
      <c r="BP92" s="5">
        <f t="shared" si="161"/>
        <v>658.471</v>
      </c>
      <c r="BQ92" s="6">
        <f t="shared" si="140"/>
        <v>0.83355199999999996</v>
      </c>
      <c r="BR92" s="4">
        <f t="shared" si="162"/>
        <v>140.19999999999999</v>
      </c>
      <c r="BS92" s="4" t="b">
        <f t="shared" si="163"/>
        <v>0</v>
      </c>
      <c r="BT92" s="4">
        <f t="shared" si="164"/>
        <v>0</v>
      </c>
      <c r="BU92" s="6">
        <f t="shared" si="141"/>
        <v>0</v>
      </c>
      <c r="BV92" s="1">
        <f t="shared" si="165"/>
        <v>0</v>
      </c>
      <c r="BW92" s="1">
        <f t="shared" si="166"/>
        <v>0</v>
      </c>
      <c r="BX92" s="116">
        <v>259</v>
      </c>
      <c r="BY92" s="7">
        <f t="shared" si="172"/>
        <v>0.1</v>
      </c>
      <c r="BZ92" s="7">
        <f>IF(ROUND((Weightings!$P$5*BY92^Weightings!$P$6*Weightings!$P$8 ),2)&lt;Weightings!$P$7,Weightings!$P$7,ROUND((Weightings!$P$5*BY92^Weightings!$P$6*Weightings!$P$8 ),2))</f>
        <v>1694.63</v>
      </c>
      <c r="CA92" s="8">
        <f>ROUND(BZ92/Weightings!$M$5,4)</f>
        <v>0.4415</v>
      </c>
      <c r="CB92" s="1">
        <f t="shared" si="173"/>
        <v>11.9</v>
      </c>
      <c r="CC92" s="173">
        <v>0</v>
      </c>
      <c r="CD92" s="173">
        <v>0</v>
      </c>
      <c r="CE92" s="173">
        <v>0</v>
      </c>
      <c r="CF92" s="177">
        <v>0</v>
      </c>
      <c r="CG92" s="2">
        <f>AS92*Weightings!$M$5*CF92</f>
        <v>0</v>
      </c>
      <c r="CH92" s="2">
        <f t="shared" si="174"/>
        <v>0</v>
      </c>
      <c r="CI92" s="117">
        <f t="shared" si="167"/>
        <v>0.52900000000000003</v>
      </c>
      <c r="CJ92" s="4">
        <f t="shared" si="168"/>
        <v>0.6</v>
      </c>
      <c r="CK92" s="1">
        <f t="shared" si="175"/>
        <v>9.3000000000000007</v>
      </c>
      <c r="CL92" s="1">
        <f t="shared" si="176"/>
        <v>0</v>
      </c>
      <c r="CM92" s="1">
        <f t="shared" si="177"/>
        <v>0</v>
      </c>
      <c r="CN92" s="1">
        <f>IF(ISNA(VLOOKUP($CZ92,'Audit Values'!$A$2:$AE$439,2,FALSE)),'Preliminary SO66'!T89,VLOOKUP($CZ92,'Audit Values'!$A$2:$AE$439,20,FALSE))</f>
        <v>0</v>
      </c>
      <c r="CO92" s="1">
        <f t="shared" si="182"/>
        <v>0</v>
      </c>
      <c r="CP92" s="183">
        <v>0</v>
      </c>
      <c r="CQ92" s="1">
        <f t="shared" si="183"/>
        <v>0</v>
      </c>
      <c r="CR92" s="2">
        <f>IF(ISNA(VLOOKUP($CZ92,'Audit Values'!$A$2:$AE$439,2,FALSE)),'Preliminary SO66'!V89,VLOOKUP($CZ92,'Audit Values'!$A$2:$AE$439,22,FALSE))</f>
        <v>0</v>
      </c>
      <c r="CS92" s="1">
        <f t="shared" si="184"/>
        <v>0</v>
      </c>
      <c r="CT92" s="2">
        <f>IF(ISNA(VLOOKUP($CZ92,'Audit Values'!$A$2:$AE$439,2,FALSE)),'Preliminary SO66'!W89,VLOOKUP($CZ92,'Audit Values'!$A$2:$AE$439,23,FALSE))</f>
        <v>0</v>
      </c>
      <c r="CU92" s="1">
        <f t="shared" si="189"/>
        <v>0</v>
      </c>
      <c r="CV92" s="1">
        <f t="shared" si="190"/>
        <v>0</v>
      </c>
      <c r="CW92" s="176">
        <v>0</v>
      </c>
      <c r="CX92" s="2">
        <f>IF(CW92&gt;0,Weightings!$M$11*AR92,0)</f>
        <v>0</v>
      </c>
      <c r="CY92" s="2">
        <f t="shared" si="178"/>
        <v>0</v>
      </c>
      <c r="CZ92" s="108" t="s">
        <v>384</v>
      </c>
    </row>
    <row r="93" spans="1:104">
      <c r="A93" s="82">
        <v>286</v>
      </c>
      <c r="B93" s="4" t="s">
        <v>43</v>
      </c>
      <c r="C93" s="4" t="s">
        <v>720</v>
      </c>
      <c r="D93" s="1">
        <v>350.5</v>
      </c>
      <c r="E93" s="1">
        <v>0</v>
      </c>
      <c r="F93" s="1">
        <f t="shared" si="187"/>
        <v>350.5</v>
      </c>
      <c r="G93" s="1">
        <v>322</v>
      </c>
      <c r="H93" s="1">
        <v>0</v>
      </c>
      <c r="I93" s="1">
        <f t="shared" si="142"/>
        <v>322</v>
      </c>
      <c r="J93" s="1">
        <f t="shared" si="143"/>
        <v>334.2</v>
      </c>
      <c r="K93" s="1">
        <f>IF(ISNA(VLOOKUP($CZ93,'Audit Values'!$A$2:$AE$439,2,FALSE)),'Preliminary SO66'!B90,VLOOKUP($CZ93,'Audit Values'!$A$2:$AE$439,31,FALSE))</f>
        <v>334.2</v>
      </c>
      <c r="L93" s="1">
        <f t="shared" si="144"/>
        <v>335.6</v>
      </c>
      <c r="M93" s="1">
        <f>IF(ISNA(VLOOKUP($CZ93,'Audit Values'!$A$2:$AE$439,2,FALSE)),'Preliminary SO66'!Z90,VLOOKUP($CZ93,'Audit Values'!$A$2:$AE$439,26,FALSE))</f>
        <v>0</v>
      </c>
      <c r="N93" s="1">
        <f t="shared" si="145"/>
        <v>335.6</v>
      </c>
      <c r="O93" s="1">
        <f>IF(ISNA(VLOOKUP($CZ93,'Audit Values'!$A$2:$AE$439,2,FALSE)),'Preliminary SO66'!C90,IF(VLOOKUP($CZ93,'Audit Values'!$A$2:$AE$439,28,FALSE)="",VLOOKUP($CZ93,'Audit Values'!$A$2:$AE$439,3,FALSE),VLOOKUP($CZ93,'Audit Values'!$A$2:$AE$439,28,FALSE)))</f>
        <v>5.5</v>
      </c>
      <c r="P93" s="109">
        <f t="shared" si="146"/>
        <v>339.7</v>
      </c>
      <c r="Q93" s="110">
        <f t="shared" si="147"/>
        <v>339.7</v>
      </c>
      <c r="R93" s="111">
        <f t="shared" si="148"/>
        <v>339.7</v>
      </c>
      <c r="S93" s="1">
        <f t="shared" si="149"/>
        <v>341.1</v>
      </c>
      <c r="T93" s="1">
        <f t="shared" si="185"/>
        <v>0</v>
      </c>
      <c r="U93" s="1">
        <f t="shared" si="150"/>
        <v>160.4</v>
      </c>
      <c r="V93" s="1">
        <f t="shared" si="179"/>
        <v>160.4</v>
      </c>
      <c r="W93" s="1">
        <f t="shared" si="180"/>
        <v>0</v>
      </c>
      <c r="X93" s="1">
        <f>IF(ISNA(VLOOKUP($CZ93,'Audit Values'!$A$2:$AE$439,2,FALSE)),'Preliminary SO66'!D90,VLOOKUP($CZ93,'Audit Values'!$A$2:$AE$439,4,FALSE))</f>
        <v>85.5</v>
      </c>
      <c r="Y93" s="1">
        <f>ROUND((X93/6)*Weightings!$M$6,1)</f>
        <v>7.1</v>
      </c>
      <c r="Z93" s="1">
        <f>IF(ISNA(VLOOKUP($CZ93,'Audit Values'!$A$2:$AE$439,2,FALSE)),'Preliminary SO66'!F90,VLOOKUP($CZ93,'Audit Values'!$A$2:$AE$439,6,FALSE))</f>
        <v>0</v>
      </c>
      <c r="AA93" s="1">
        <f>ROUND((Z93/6)*Weightings!$M$7,1)</f>
        <v>0</v>
      </c>
      <c r="AB93" s="2">
        <f>IF(ISNA(VLOOKUP($CZ93,'Audit Values'!$A$2:$AE$439,2,FALSE)),'Preliminary SO66'!H90,VLOOKUP($CZ93,'Audit Values'!$A$2:$AE$439,8,FALSE))</f>
        <v>179</v>
      </c>
      <c r="AC93" s="1">
        <f>ROUND(AB93*Weightings!$M$8,1)</f>
        <v>81.599999999999994</v>
      </c>
      <c r="AD93" s="1">
        <f t="shared" si="169"/>
        <v>18.8</v>
      </c>
      <c r="AE93" s="185">
        <v>20</v>
      </c>
      <c r="AF93" s="1">
        <f>AE93*Weightings!$M$9</f>
        <v>0.9</v>
      </c>
      <c r="AG93" s="1">
        <f>IF(ISNA(VLOOKUP($CZ93,'Audit Values'!$A$2:$AE$439,2,FALSE)),'Preliminary SO66'!L90,VLOOKUP($CZ93,'Audit Values'!$A$2:$AE$439,12,FALSE))</f>
        <v>0</v>
      </c>
      <c r="AH93" s="1">
        <f>ROUND(AG93*Weightings!$M$10,1)</f>
        <v>0</v>
      </c>
      <c r="AI93" s="1">
        <f>IF(ISNA(VLOOKUP($CZ93,'Audit Values'!$A$2:$AE$439,2,FALSE)),'Preliminary SO66'!O90,VLOOKUP($CZ93,'Audit Values'!$A$2:$AE$439,15,FALSE))</f>
        <v>123.5</v>
      </c>
      <c r="AJ93" s="1">
        <f t="shared" si="151"/>
        <v>41.8</v>
      </c>
      <c r="AK93" s="1">
        <f>CC93/Weightings!$M$5</f>
        <v>0</v>
      </c>
      <c r="AL93" s="1">
        <f>CD93/Weightings!$M$5</f>
        <v>0</v>
      </c>
      <c r="AM93" s="1">
        <f>CH93/Weightings!$M$5</f>
        <v>0</v>
      </c>
      <c r="AN93" s="1">
        <f t="shared" si="181"/>
        <v>0</v>
      </c>
      <c r="AO93" s="1">
        <f>IF(ISNA(VLOOKUP($CZ93,'Audit Values'!$A$2:$AE$439,2,FALSE)),'Preliminary SO66'!X90,VLOOKUP($CZ93,'Audit Values'!$A$2:$AE$439,24,FALSE))</f>
        <v>1</v>
      </c>
      <c r="AP93" s="188">
        <v>406063</v>
      </c>
      <c r="AQ93" s="113">
        <f>AP93/Weightings!$M$5</f>
        <v>105.8</v>
      </c>
      <c r="AR93" s="113">
        <f t="shared" si="152"/>
        <v>652.70000000000005</v>
      </c>
      <c r="AS93" s="1">
        <f t="shared" si="153"/>
        <v>758.5</v>
      </c>
      <c r="AT93" s="1">
        <f t="shared" si="154"/>
        <v>758.5</v>
      </c>
      <c r="AU93" s="2">
        <f t="shared" si="170"/>
        <v>0</v>
      </c>
      <c r="AV93" s="82">
        <f>IF(ISNA(VLOOKUP($CZ93,'Audit Values'!$A$2:$AC$360,2,FALSE)),"",IF(AND(Weightings!H93&gt;0,VLOOKUP($CZ93,'Audit Values'!$A$2:$AC$360,29,FALSE)&lt;Weightings!H93),Weightings!H93,VLOOKUP($CZ93,'Audit Values'!$A$2:$AC$360,29,FALSE)))</f>
        <v>23</v>
      </c>
      <c r="AW93" s="82" t="str">
        <f>IF(ISNA(VLOOKUP($CZ93,'Audit Values'!$A$2:$AD$360,2,FALSE)),"",VLOOKUP($CZ93,'Audit Values'!$A$2:$AD$360,30,FALSE))</f>
        <v>A</v>
      </c>
      <c r="AX93" s="82" t="str">
        <f>IF(Weightings!G93="","",IF(Weightings!I93="Pending","PX","R"))</f>
        <v>R</v>
      </c>
      <c r="AY93" s="114">
        <f>AR93*Weightings!$M$5+AU93</f>
        <v>2505063</v>
      </c>
      <c r="AZ93" s="2">
        <f>AT93*Weightings!$M$5+AU93</f>
        <v>2911123</v>
      </c>
      <c r="BA93" s="2">
        <f>IF(Weightings!G93&gt;0,Weightings!G93,'Preliminary SO66'!AB90)</f>
        <v>3063108</v>
      </c>
      <c r="BB93" s="2">
        <f t="shared" si="155"/>
        <v>2911123</v>
      </c>
      <c r="BC93" s="124"/>
      <c r="BD93" s="124">
        <f>Weightings!E93</f>
        <v>0</v>
      </c>
      <c r="BE93" s="124">
        <f>Weightings!F93</f>
        <v>0</v>
      </c>
      <c r="BF93" s="2">
        <f t="shared" si="156"/>
        <v>0</v>
      </c>
      <c r="BG93" s="2">
        <f t="shared" si="157"/>
        <v>2911123</v>
      </c>
      <c r="BH93" s="2">
        <f>MAX(ROUND(((AR93-AO93)*4433)+AP93,0),ROUND(((AR93-AO93)*4433)+Weightings!B93,0))</f>
        <v>3392226</v>
      </c>
      <c r="BI93" s="174">
        <v>0.3</v>
      </c>
      <c r="BJ93" s="2">
        <f t="shared" si="188"/>
        <v>1017668</v>
      </c>
      <c r="BK93" s="173">
        <v>764650</v>
      </c>
      <c r="BL93" s="2">
        <f t="shared" si="158"/>
        <v>764650</v>
      </c>
      <c r="BM93" s="3">
        <f t="shared" si="171"/>
        <v>0.22539999999999999</v>
      </c>
      <c r="BN93" s="1">
        <f t="shared" si="159"/>
        <v>0</v>
      </c>
      <c r="BO93" s="4" t="b">
        <f t="shared" si="160"/>
        <v>0</v>
      </c>
      <c r="BP93" s="5">
        <f t="shared" si="161"/>
        <v>0</v>
      </c>
      <c r="BQ93" s="6">
        <f t="shared" si="140"/>
        <v>0</v>
      </c>
      <c r="BR93" s="4">
        <f t="shared" si="162"/>
        <v>0</v>
      </c>
      <c r="BS93" s="4" t="b">
        <f t="shared" si="163"/>
        <v>1</v>
      </c>
      <c r="BT93" s="4">
        <f t="shared" si="164"/>
        <v>50.8613</v>
      </c>
      <c r="BU93" s="6">
        <f t="shared" si="141"/>
        <v>0.470223</v>
      </c>
      <c r="BV93" s="1">
        <f t="shared" si="165"/>
        <v>160.4</v>
      </c>
      <c r="BW93" s="1">
        <f t="shared" si="166"/>
        <v>0</v>
      </c>
      <c r="BX93" s="116">
        <v>382.5</v>
      </c>
      <c r="BY93" s="7">
        <f t="shared" si="172"/>
        <v>0.32</v>
      </c>
      <c r="BZ93" s="7">
        <f>IF(ROUND((Weightings!$P$5*BY93^Weightings!$P$6*Weightings!$P$8 ),2)&lt;Weightings!$P$7,Weightings!$P$7,ROUND((Weightings!$P$5*BY93^Weightings!$P$6*Weightings!$P$8 ),2))</f>
        <v>1299.72</v>
      </c>
      <c r="CA93" s="8">
        <f>ROUND(BZ93/Weightings!$M$5,4)</f>
        <v>0.33860000000000001</v>
      </c>
      <c r="CB93" s="1">
        <f t="shared" si="173"/>
        <v>41.8</v>
      </c>
      <c r="CC93" s="173">
        <v>0</v>
      </c>
      <c r="CD93" s="173">
        <v>0</v>
      </c>
      <c r="CE93" s="173">
        <v>0</v>
      </c>
      <c r="CF93" s="177">
        <v>0</v>
      </c>
      <c r="CG93" s="2">
        <f>AS93*Weightings!$M$5*CF93</f>
        <v>0</v>
      </c>
      <c r="CH93" s="2">
        <f t="shared" si="174"/>
        <v>0</v>
      </c>
      <c r="CI93" s="117">
        <f t="shared" si="167"/>
        <v>0.52500000000000002</v>
      </c>
      <c r="CJ93" s="4">
        <f t="shared" si="168"/>
        <v>0.9</v>
      </c>
      <c r="CK93" s="1">
        <f t="shared" si="175"/>
        <v>18.8</v>
      </c>
      <c r="CL93" s="1">
        <f t="shared" si="176"/>
        <v>0</v>
      </c>
      <c r="CM93" s="1">
        <f t="shared" si="177"/>
        <v>0</v>
      </c>
      <c r="CN93" s="1">
        <f>IF(ISNA(VLOOKUP($CZ93,'Audit Values'!$A$2:$AE$439,2,FALSE)),'Preliminary SO66'!T90,VLOOKUP($CZ93,'Audit Values'!$A$2:$AE$439,20,FALSE))</f>
        <v>0</v>
      </c>
      <c r="CO93" s="1">
        <f t="shared" si="182"/>
        <v>0</v>
      </c>
      <c r="CP93" s="183">
        <v>0</v>
      </c>
      <c r="CQ93" s="1">
        <f t="shared" si="183"/>
        <v>0</v>
      </c>
      <c r="CR93" s="2">
        <f>IF(ISNA(VLOOKUP($CZ93,'Audit Values'!$A$2:$AE$439,2,FALSE)),'Preliminary SO66'!V90,VLOOKUP($CZ93,'Audit Values'!$A$2:$AE$439,22,FALSE))</f>
        <v>0</v>
      </c>
      <c r="CS93" s="1">
        <f t="shared" si="184"/>
        <v>0</v>
      </c>
      <c r="CT93" s="2">
        <f>IF(ISNA(VLOOKUP($CZ93,'Audit Values'!$A$2:$AE$439,2,FALSE)),'Preliminary SO66'!W90,VLOOKUP($CZ93,'Audit Values'!$A$2:$AE$439,23,FALSE))</f>
        <v>0</v>
      </c>
      <c r="CU93" s="1">
        <f t="shared" si="189"/>
        <v>0</v>
      </c>
      <c r="CV93" s="1">
        <f t="shared" si="190"/>
        <v>0</v>
      </c>
      <c r="CW93" s="176">
        <v>0</v>
      </c>
      <c r="CX93" s="2">
        <f>IF(CW93&gt;0,Weightings!$M$11*AR93,0)</f>
        <v>0</v>
      </c>
      <c r="CY93" s="2">
        <f t="shared" si="178"/>
        <v>0</v>
      </c>
      <c r="CZ93" s="108" t="s">
        <v>385</v>
      </c>
    </row>
    <row r="94" spans="1:104">
      <c r="A94" s="82">
        <v>287</v>
      </c>
      <c r="B94" s="4" t="s">
        <v>44</v>
      </c>
      <c r="C94" s="4" t="s">
        <v>721</v>
      </c>
      <c r="D94" s="1">
        <v>624.5</v>
      </c>
      <c r="E94" s="1">
        <v>0</v>
      </c>
      <c r="F94" s="1">
        <f t="shared" si="187"/>
        <v>624.5</v>
      </c>
      <c r="G94" s="1">
        <v>597</v>
      </c>
      <c r="H94" s="1">
        <v>0</v>
      </c>
      <c r="I94" s="1">
        <f t="shared" si="142"/>
        <v>597</v>
      </c>
      <c r="J94" s="1">
        <f t="shared" si="143"/>
        <v>582</v>
      </c>
      <c r="K94" s="1">
        <f>IF(ISNA(VLOOKUP($CZ94,'Audit Values'!$A$2:$AE$439,2,FALSE)),'Preliminary SO66'!B91,VLOOKUP($CZ94,'Audit Values'!$A$2:$AE$439,31,FALSE))</f>
        <v>582</v>
      </c>
      <c r="L94" s="1">
        <f t="shared" si="144"/>
        <v>601.20000000000005</v>
      </c>
      <c r="M94" s="1">
        <f>IF(ISNA(VLOOKUP($CZ94,'Audit Values'!$A$2:$AE$439,2,FALSE)),'Preliminary SO66'!Z91,VLOOKUP($CZ94,'Audit Values'!$A$2:$AE$439,26,FALSE))</f>
        <v>0</v>
      </c>
      <c r="N94" s="1">
        <f t="shared" si="145"/>
        <v>601.20000000000005</v>
      </c>
      <c r="O94" s="1">
        <f>IF(ISNA(VLOOKUP($CZ94,'Audit Values'!$A$2:$AE$439,2,FALSE)),'Preliminary SO66'!C91,IF(VLOOKUP($CZ94,'Audit Values'!$A$2:$AE$439,28,FALSE)="",VLOOKUP($CZ94,'Audit Values'!$A$2:$AE$439,3,FALSE),VLOOKUP($CZ94,'Audit Values'!$A$2:$AE$439,28,FALSE)))</f>
        <v>0</v>
      </c>
      <c r="P94" s="109">
        <f t="shared" si="146"/>
        <v>582</v>
      </c>
      <c r="Q94" s="110">
        <f t="shared" si="147"/>
        <v>582</v>
      </c>
      <c r="R94" s="111">
        <f t="shared" si="148"/>
        <v>582</v>
      </c>
      <c r="S94" s="1">
        <f t="shared" si="149"/>
        <v>601.20000000000005</v>
      </c>
      <c r="T94" s="1">
        <f t="shared" si="185"/>
        <v>0</v>
      </c>
      <c r="U94" s="1">
        <f t="shared" si="150"/>
        <v>229.6</v>
      </c>
      <c r="V94" s="1">
        <f t="shared" si="179"/>
        <v>229.6</v>
      </c>
      <c r="W94" s="1">
        <f t="shared" si="180"/>
        <v>0</v>
      </c>
      <c r="X94" s="1">
        <f>IF(ISNA(VLOOKUP($CZ94,'Audit Values'!$A$2:$AE$439,2,FALSE)),'Preliminary SO66'!D91,VLOOKUP($CZ94,'Audit Values'!$A$2:$AE$439,4,FALSE))</f>
        <v>260.3</v>
      </c>
      <c r="Y94" s="1">
        <f>ROUND((X94/6)*Weightings!$M$6,1)</f>
        <v>21.7</v>
      </c>
      <c r="Z94" s="1">
        <f>IF(ISNA(VLOOKUP($CZ94,'Audit Values'!$A$2:$AE$439,2,FALSE)),'Preliminary SO66'!F91,VLOOKUP($CZ94,'Audit Values'!$A$2:$AE$439,6,FALSE))</f>
        <v>0.5</v>
      </c>
      <c r="AA94" s="1">
        <f>ROUND((Z94/6)*Weightings!$M$7,1)</f>
        <v>0</v>
      </c>
      <c r="AB94" s="2">
        <f>IF(ISNA(VLOOKUP($CZ94,'Audit Values'!$A$2:$AE$439,2,FALSE)),'Preliminary SO66'!H91,VLOOKUP($CZ94,'Audit Values'!$A$2:$AE$439,8,FALSE))</f>
        <v>291</v>
      </c>
      <c r="AC94" s="1">
        <f>ROUND(AB94*Weightings!$M$8,1)</f>
        <v>132.69999999999999</v>
      </c>
      <c r="AD94" s="1">
        <f t="shared" si="169"/>
        <v>27.3</v>
      </c>
      <c r="AE94" s="185">
        <v>23</v>
      </c>
      <c r="AF94" s="1">
        <f>AE94*Weightings!$M$9</f>
        <v>1.1000000000000001</v>
      </c>
      <c r="AG94" s="1">
        <f>IF(ISNA(VLOOKUP($CZ94,'Audit Values'!$A$2:$AE$439,2,FALSE)),'Preliminary SO66'!L91,VLOOKUP($CZ94,'Audit Values'!$A$2:$AE$439,12,FALSE))</f>
        <v>0</v>
      </c>
      <c r="AH94" s="1">
        <f>ROUND(AG94*Weightings!$M$10,1)</f>
        <v>0</v>
      </c>
      <c r="AI94" s="1">
        <f>IF(ISNA(VLOOKUP($CZ94,'Audit Values'!$A$2:$AE$439,2,FALSE)),'Preliminary SO66'!O91,VLOOKUP($CZ94,'Audit Values'!$A$2:$AE$439,15,FALSE))</f>
        <v>410</v>
      </c>
      <c r="AJ94" s="1">
        <f t="shared" si="151"/>
        <v>93.5</v>
      </c>
      <c r="AK94" s="1">
        <f>CC94/Weightings!$M$5</f>
        <v>0</v>
      </c>
      <c r="AL94" s="1">
        <f>CD94/Weightings!$M$5</f>
        <v>0</v>
      </c>
      <c r="AM94" s="1">
        <f>CH94/Weightings!$M$5</f>
        <v>0</v>
      </c>
      <c r="AN94" s="1">
        <f t="shared" si="181"/>
        <v>0</v>
      </c>
      <c r="AO94" s="1">
        <f>IF(ISNA(VLOOKUP($CZ94,'Audit Values'!$A$2:$AE$439,2,FALSE)),'Preliminary SO66'!X91,VLOOKUP($CZ94,'Audit Values'!$A$2:$AE$439,24,FALSE))</f>
        <v>0</v>
      </c>
      <c r="AP94" s="188">
        <v>737946</v>
      </c>
      <c r="AQ94" s="113">
        <f>AP94/Weightings!$M$5</f>
        <v>192.3</v>
      </c>
      <c r="AR94" s="113">
        <f t="shared" si="152"/>
        <v>1107.0999999999999</v>
      </c>
      <c r="AS94" s="1">
        <f t="shared" si="153"/>
        <v>1299.4000000000001</v>
      </c>
      <c r="AT94" s="1">
        <f t="shared" si="154"/>
        <v>1299.4000000000001</v>
      </c>
      <c r="AU94" s="2">
        <f t="shared" si="170"/>
        <v>0</v>
      </c>
      <c r="AV94" s="82">
        <f>IF(ISNA(VLOOKUP($CZ94,'Audit Values'!$A$2:$AC$360,2,FALSE)),"",IF(AND(Weightings!H94&gt;0,VLOOKUP($CZ94,'Audit Values'!$A$2:$AC$360,29,FALSE)&lt;Weightings!H94),Weightings!H94,VLOOKUP($CZ94,'Audit Values'!$A$2:$AC$360,29,FALSE)))</f>
        <v>1</v>
      </c>
      <c r="AW94" s="82" t="str">
        <f>IF(ISNA(VLOOKUP($CZ94,'Audit Values'!$A$2:$AD$360,2,FALSE)),"",VLOOKUP($CZ94,'Audit Values'!$A$2:$AD$360,30,FALSE))</f>
        <v>A</v>
      </c>
      <c r="AX94" s="82" t="str">
        <f>IF(Weightings!G94="","",IF(Weightings!I94="Pending","PX","R"))</f>
        <v/>
      </c>
      <c r="AY94" s="114">
        <f>AR94*Weightings!$M$5+AU94</f>
        <v>4249050</v>
      </c>
      <c r="AZ94" s="2">
        <f>AT94*Weightings!$M$5+AU94</f>
        <v>4987097</v>
      </c>
      <c r="BA94" s="2">
        <f>IF(Weightings!G94&gt;0,Weightings!G94,'Preliminary SO66'!AB91)</f>
        <v>5179765</v>
      </c>
      <c r="BB94" s="2">
        <f t="shared" si="155"/>
        <v>4987097</v>
      </c>
      <c r="BC94" s="124"/>
      <c r="BD94" s="124">
        <f>Weightings!E94</f>
        <v>0</v>
      </c>
      <c r="BE94" s="124">
        <f>Weightings!F94</f>
        <v>0</v>
      </c>
      <c r="BF94" s="2">
        <f t="shared" si="156"/>
        <v>0</v>
      </c>
      <c r="BG94" s="2">
        <f t="shared" si="157"/>
        <v>4987097</v>
      </c>
      <c r="BH94" s="2">
        <f>MAX(ROUND(((AR94-AO94)*4433)+AP94,0),ROUND(((AR94-AO94)*4433)+Weightings!B94,0))</f>
        <v>5835898</v>
      </c>
      <c r="BI94" s="174">
        <v>0.3</v>
      </c>
      <c r="BJ94" s="2">
        <f t="shared" si="188"/>
        <v>1750769</v>
      </c>
      <c r="BK94" s="173">
        <v>1785746</v>
      </c>
      <c r="BL94" s="2">
        <f t="shared" si="158"/>
        <v>1750769</v>
      </c>
      <c r="BM94" s="3">
        <f t="shared" si="171"/>
        <v>0.3</v>
      </c>
      <c r="BN94" s="1">
        <f t="shared" si="159"/>
        <v>0</v>
      </c>
      <c r="BO94" s="4" t="b">
        <f t="shared" si="160"/>
        <v>0</v>
      </c>
      <c r="BP94" s="5">
        <f t="shared" si="161"/>
        <v>0</v>
      </c>
      <c r="BQ94" s="6">
        <f t="shared" si="140"/>
        <v>0</v>
      </c>
      <c r="BR94" s="4">
        <f t="shared" si="162"/>
        <v>0</v>
      </c>
      <c r="BS94" s="4" t="b">
        <f t="shared" si="163"/>
        <v>1</v>
      </c>
      <c r="BT94" s="4">
        <f t="shared" si="164"/>
        <v>372.73500000000001</v>
      </c>
      <c r="BU94" s="6">
        <f t="shared" si="141"/>
        <v>0.38185400000000003</v>
      </c>
      <c r="BV94" s="1">
        <f t="shared" si="165"/>
        <v>229.6</v>
      </c>
      <c r="BW94" s="1">
        <f t="shared" si="166"/>
        <v>0</v>
      </c>
      <c r="BX94" s="116">
        <v>227</v>
      </c>
      <c r="BY94" s="7">
        <f t="shared" si="172"/>
        <v>1.81</v>
      </c>
      <c r="BZ94" s="7">
        <f>IF(ROUND((Weightings!$P$5*BY94^Weightings!$P$6*Weightings!$P$8 ),2)&lt;Weightings!$P$7,Weightings!$P$7,ROUND((Weightings!$P$5*BY94^Weightings!$P$6*Weightings!$P$8 ),2))</f>
        <v>875.38</v>
      </c>
      <c r="CA94" s="8">
        <f>ROUND(BZ94/Weightings!$M$5,4)</f>
        <v>0.2281</v>
      </c>
      <c r="CB94" s="1">
        <f t="shared" si="173"/>
        <v>93.5</v>
      </c>
      <c r="CC94" s="173">
        <v>0</v>
      </c>
      <c r="CD94" s="173">
        <v>0</v>
      </c>
      <c r="CE94" s="173">
        <v>0</v>
      </c>
      <c r="CF94" s="177">
        <v>0</v>
      </c>
      <c r="CG94" s="2">
        <f>AS94*Weightings!$M$5*CF94</f>
        <v>0</v>
      </c>
      <c r="CH94" s="2">
        <f t="shared" si="174"/>
        <v>0</v>
      </c>
      <c r="CI94" s="117">
        <f t="shared" si="167"/>
        <v>0.48399999999999999</v>
      </c>
      <c r="CJ94" s="4">
        <f t="shared" si="168"/>
        <v>2.6</v>
      </c>
      <c r="CK94" s="1">
        <f t="shared" si="175"/>
        <v>0</v>
      </c>
      <c r="CL94" s="1">
        <f t="shared" si="176"/>
        <v>0</v>
      </c>
      <c r="CM94" s="1">
        <f t="shared" si="177"/>
        <v>27.3</v>
      </c>
      <c r="CN94" s="1">
        <f>IF(ISNA(VLOOKUP($CZ94,'Audit Values'!$A$2:$AE$439,2,FALSE)),'Preliminary SO66'!T91,VLOOKUP($CZ94,'Audit Values'!$A$2:$AE$439,20,FALSE))</f>
        <v>0</v>
      </c>
      <c r="CO94" s="1">
        <f t="shared" si="182"/>
        <v>0</v>
      </c>
      <c r="CP94" s="183">
        <v>0</v>
      </c>
      <c r="CQ94" s="1">
        <f t="shared" si="183"/>
        <v>0</v>
      </c>
      <c r="CR94" s="2">
        <f>IF(ISNA(VLOOKUP($CZ94,'Audit Values'!$A$2:$AE$439,2,FALSE)),'Preliminary SO66'!V91,VLOOKUP($CZ94,'Audit Values'!$A$2:$AE$439,22,FALSE))</f>
        <v>0</v>
      </c>
      <c r="CS94" s="1">
        <f t="shared" si="184"/>
        <v>0</v>
      </c>
      <c r="CT94" s="2">
        <f>IF(ISNA(VLOOKUP($CZ94,'Audit Values'!$A$2:$AE$439,2,FALSE)),'Preliminary SO66'!W91,VLOOKUP($CZ94,'Audit Values'!$A$2:$AE$439,23,FALSE))</f>
        <v>0</v>
      </c>
      <c r="CU94" s="1">
        <f t="shared" si="189"/>
        <v>0</v>
      </c>
      <c r="CV94" s="1">
        <f t="shared" si="190"/>
        <v>0</v>
      </c>
      <c r="CW94" s="176">
        <v>0</v>
      </c>
      <c r="CX94" s="2">
        <f>IF(CW94&gt;0,Weightings!$M$11*AR94,0)</f>
        <v>0</v>
      </c>
      <c r="CY94" s="2">
        <f t="shared" si="178"/>
        <v>0</v>
      </c>
      <c r="CZ94" s="108" t="s">
        <v>386</v>
      </c>
    </row>
    <row r="95" spans="1:104">
      <c r="A95" s="82">
        <v>288</v>
      </c>
      <c r="B95" s="4" t="s">
        <v>44</v>
      </c>
      <c r="C95" s="4" t="s">
        <v>722</v>
      </c>
      <c r="D95" s="1">
        <v>562.1</v>
      </c>
      <c r="E95" s="1">
        <v>0</v>
      </c>
      <c r="F95" s="1">
        <f t="shared" si="187"/>
        <v>562.1</v>
      </c>
      <c r="G95" s="1">
        <v>532</v>
      </c>
      <c r="H95" s="1">
        <v>0</v>
      </c>
      <c r="I95" s="1">
        <f t="shared" si="142"/>
        <v>532</v>
      </c>
      <c r="J95" s="1">
        <f t="shared" si="143"/>
        <v>546.5</v>
      </c>
      <c r="K95" s="1">
        <f>IF(ISNA(VLOOKUP($CZ95,'Audit Values'!$A$2:$AE$439,2,FALSE)),'Preliminary SO66'!B92,VLOOKUP($CZ95,'Audit Values'!$A$2:$AE$439,31,FALSE))</f>
        <v>546.5</v>
      </c>
      <c r="L95" s="1">
        <f t="shared" si="144"/>
        <v>546.9</v>
      </c>
      <c r="M95" s="1">
        <f>IF(ISNA(VLOOKUP($CZ95,'Audit Values'!$A$2:$AE$439,2,FALSE)),'Preliminary SO66'!Z92,VLOOKUP($CZ95,'Audit Values'!$A$2:$AE$439,26,FALSE))</f>
        <v>0</v>
      </c>
      <c r="N95" s="1">
        <f t="shared" si="145"/>
        <v>546.9</v>
      </c>
      <c r="O95" s="1">
        <f>IF(ISNA(VLOOKUP($CZ95,'Audit Values'!$A$2:$AE$439,2,FALSE)),'Preliminary SO66'!C92,IF(VLOOKUP($CZ95,'Audit Values'!$A$2:$AE$439,28,FALSE)="",VLOOKUP($CZ95,'Audit Values'!$A$2:$AE$439,3,FALSE),VLOOKUP($CZ95,'Audit Values'!$A$2:$AE$439,28,FALSE)))</f>
        <v>5</v>
      </c>
      <c r="P95" s="109">
        <f t="shared" si="146"/>
        <v>551.5</v>
      </c>
      <c r="Q95" s="110">
        <f t="shared" si="147"/>
        <v>551.5</v>
      </c>
      <c r="R95" s="111">
        <f t="shared" si="148"/>
        <v>551.5</v>
      </c>
      <c r="S95" s="1">
        <f t="shared" si="149"/>
        <v>551.9</v>
      </c>
      <c r="T95" s="1">
        <f t="shared" si="185"/>
        <v>0</v>
      </c>
      <c r="U95" s="1">
        <f t="shared" si="150"/>
        <v>220</v>
      </c>
      <c r="V95" s="1">
        <f t="shared" si="179"/>
        <v>220</v>
      </c>
      <c r="W95" s="1">
        <f t="shared" si="180"/>
        <v>0</v>
      </c>
      <c r="X95" s="1">
        <f>IF(ISNA(VLOOKUP($CZ95,'Audit Values'!$A$2:$AE$439,2,FALSE)),'Preliminary SO66'!D92,VLOOKUP($CZ95,'Audit Values'!$A$2:$AE$439,4,FALSE))</f>
        <v>347.4</v>
      </c>
      <c r="Y95" s="1">
        <f>ROUND((X95/6)*Weightings!$M$6,1)</f>
        <v>29</v>
      </c>
      <c r="Z95" s="1">
        <f>IF(ISNA(VLOOKUP($CZ95,'Audit Values'!$A$2:$AE$439,2,FALSE)),'Preliminary SO66'!F92,VLOOKUP($CZ95,'Audit Values'!$A$2:$AE$439,6,FALSE))</f>
        <v>1.7</v>
      </c>
      <c r="AA95" s="1">
        <f>ROUND((Z95/6)*Weightings!$M$7,1)</f>
        <v>0.1</v>
      </c>
      <c r="AB95" s="2">
        <f>IF(ISNA(VLOOKUP($CZ95,'Audit Values'!$A$2:$AE$439,2,FALSE)),'Preliminary SO66'!H92,VLOOKUP($CZ95,'Audit Values'!$A$2:$AE$439,8,FALSE))</f>
        <v>317</v>
      </c>
      <c r="AC95" s="1">
        <f>ROUND(AB95*Weightings!$M$8,1)</f>
        <v>144.6</v>
      </c>
      <c r="AD95" s="1">
        <f t="shared" si="169"/>
        <v>33.299999999999997</v>
      </c>
      <c r="AE95" s="185">
        <v>49</v>
      </c>
      <c r="AF95" s="1">
        <f>AE95*Weightings!$M$9</f>
        <v>2.2999999999999998</v>
      </c>
      <c r="AG95" s="1">
        <f>IF(ISNA(VLOOKUP($CZ95,'Audit Values'!$A$2:$AE$439,2,FALSE)),'Preliminary SO66'!L92,VLOOKUP($CZ95,'Audit Values'!$A$2:$AE$439,12,FALSE))</f>
        <v>0</v>
      </c>
      <c r="AH95" s="1">
        <f>ROUND(AG95*Weightings!$M$10,1)</f>
        <v>0</v>
      </c>
      <c r="AI95" s="1">
        <f>IF(ISNA(VLOOKUP($CZ95,'Audit Values'!$A$2:$AE$439,2,FALSE)),'Preliminary SO66'!O92,VLOOKUP($CZ95,'Audit Values'!$A$2:$AE$439,15,FALSE))</f>
        <v>437</v>
      </c>
      <c r="AJ95" s="1">
        <f t="shared" si="151"/>
        <v>88.3</v>
      </c>
      <c r="AK95" s="1">
        <f>CC95/Weightings!$M$5</f>
        <v>0</v>
      </c>
      <c r="AL95" s="1">
        <f>CD95/Weightings!$M$5</f>
        <v>0</v>
      </c>
      <c r="AM95" s="1">
        <f>CH95/Weightings!$M$5</f>
        <v>0</v>
      </c>
      <c r="AN95" s="1">
        <f t="shared" si="181"/>
        <v>0</v>
      </c>
      <c r="AO95" s="1">
        <f>IF(ISNA(VLOOKUP($CZ95,'Audit Values'!$A$2:$AE$439,2,FALSE)),'Preliminary SO66'!X92,VLOOKUP($CZ95,'Audit Values'!$A$2:$AE$439,24,FALSE))</f>
        <v>0</v>
      </c>
      <c r="AP95" s="188">
        <v>451484</v>
      </c>
      <c r="AQ95" s="113">
        <f>AP95/Weightings!$M$5</f>
        <v>117.6</v>
      </c>
      <c r="AR95" s="113">
        <f t="shared" si="152"/>
        <v>1069.5</v>
      </c>
      <c r="AS95" s="1">
        <f t="shared" si="153"/>
        <v>1187.0999999999999</v>
      </c>
      <c r="AT95" s="1">
        <f t="shared" si="154"/>
        <v>1187.0999999999999</v>
      </c>
      <c r="AU95" s="2">
        <f t="shared" si="170"/>
        <v>0</v>
      </c>
      <c r="AV95" s="82">
        <f>IF(ISNA(VLOOKUP($CZ95,'Audit Values'!$A$2:$AC$360,2,FALSE)),"",IF(AND(Weightings!H95&gt;0,VLOOKUP($CZ95,'Audit Values'!$A$2:$AC$360,29,FALSE)&lt;Weightings!H95),Weightings!H95,VLOOKUP($CZ95,'Audit Values'!$A$2:$AC$360,29,FALSE)))</f>
        <v>23</v>
      </c>
      <c r="AW95" s="82" t="str">
        <f>IF(ISNA(VLOOKUP($CZ95,'Audit Values'!$A$2:$AD$360,2,FALSE)),"",VLOOKUP($CZ95,'Audit Values'!$A$2:$AD$360,30,FALSE))</f>
        <v>A</v>
      </c>
      <c r="AX95" s="82" t="str">
        <f>IF(Weightings!G95="","",IF(Weightings!I95="Pending","PX","R"))</f>
        <v>R</v>
      </c>
      <c r="AY95" s="114">
        <f>AR95*Weightings!$M$5+AU95</f>
        <v>4104741</v>
      </c>
      <c r="AZ95" s="2">
        <f>AT95*Weightings!$M$5+AU95</f>
        <v>4556090</v>
      </c>
      <c r="BA95" s="2">
        <f>IF(Weightings!G95&gt;0,Weightings!G95,'Preliminary SO66'!AB92)</f>
        <v>4584875</v>
      </c>
      <c r="BB95" s="2">
        <f t="shared" si="155"/>
        <v>4556090</v>
      </c>
      <c r="BC95" s="124"/>
      <c r="BD95" s="124">
        <f>Weightings!E95</f>
        <v>0</v>
      </c>
      <c r="BE95" s="124">
        <f>Weightings!F95</f>
        <v>0</v>
      </c>
      <c r="BF95" s="2">
        <f t="shared" si="156"/>
        <v>0</v>
      </c>
      <c r="BG95" s="2">
        <f t="shared" si="157"/>
        <v>4556090</v>
      </c>
      <c r="BH95" s="2">
        <f>MAX(ROUND(((AR95-AO95)*4433)+AP95,0),ROUND(((AR95-AO95)*4433)+Weightings!B95,0))</f>
        <v>5220740</v>
      </c>
      <c r="BI95" s="174">
        <v>0.3</v>
      </c>
      <c r="BJ95" s="2">
        <f t="shared" si="188"/>
        <v>1566222</v>
      </c>
      <c r="BK95" s="173">
        <v>1350000</v>
      </c>
      <c r="BL95" s="2">
        <f t="shared" si="158"/>
        <v>1350000</v>
      </c>
      <c r="BM95" s="3">
        <f t="shared" si="171"/>
        <v>0.2586</v>
      </c>
      <c r="BN95" s="1">
        <f t="shared" si="159"/>
        <v>0</v>
      </c>
      <c r="BO95" s="4" t="b">
        <f t="shared" si="160"/>
        <v>0</v>
      </c>
      <c r="BP95" s="5">
        <f t="shared" si="161"/>
        <v>0</v>
      </c>
      <c r="BQ95" s="6">
        <f t="shared" si="140"/>
        <v>0</v>
      </c>
      <c r="BR95" s="4">
        <f t="shared" si="162"/>
        <v>0</v>
      </c>
      <c r="BS95" s="4" t="b">
        <f t="shared" si="163"/>
        <v>1</v>
      </c>
      <c r="BT95" s="4">
        <f t="shared" si="164"/>
        <v>311.72629999999998</v>
      </c>
      <c r="BU95" s="6">
        <f t="shared" si="141"/>
        <v>0.39860400000000001</v>
      </c>
      <c r="BV95" s="1">
        <f t="shared" si="165"/>
        <v>220</v>
      </c>
      <c r="BW95" s="1">
        <f t="shared" si="166"/>
        <v>0</v>
      </c>
      <c r="BX95" s="116">
        <v>142.1</v>
      </c>
      <c r="BY95" s="7">
        <f t="shared" si="172"/>
        <v>3.08</v>
      </c>
      <c r="BZ95" s="7">
        <f>IF(ROUND((Weightings!$P$5*BY95^Weightings!$P$6*Weightings!$P$8 ),2)&lt;Weightings!$P$7,Weightings!$P$7,ROUND((Weightings!$P$5*BY95^Weightings!$P$6*Weightings!$P$8 ),2))</f>
        <v>775.42</v>
      </c>
      <c r="CA95" s="8">
        <f>ROUND(BZ95/Weightings!$M$5,4)</f>
        <v>0.20200000000000001</v>
      </c>
      <c r="CB95" s="1">
        <f t="shared" si="173"/>
        <v>88.3</v>
      </c>
      <c r="CC95" s="173">
        <v>0</v>
      </c>
      <c r="CD95" s="173">
        <v>0</v>
      </c>
      <c r="CE95" s="173">
        <v>0</v>
      </c>
      <c r="CF95" s="177">
        <v>0</v>
      </c>
      <c r="CG95" s="2">
        <f>AS95*Weightings!$M$5*CF95</f>
        <v>0</v>
      </c>
      <c r="CH95" s="2">
        <f t="shared" si="174"/>
        <v>0</v>
      </c>
      <c r="CI95" s="117">
        <f t="shared" si="167"/>
        <v>0.57399999999999995</v>
      </c>
      <c r="CJ95" s="4">
        <f t="shared" si="168"/>
        <v>3.9</v>
      </c>
      <c r="CK95" s="1">
        <f t="shared" si="175"/>
        <v>33.299999999999997</v>
      </c>
      <c r="CL95" s="1">
        <f t="shared" si="176"/>
        <v>0</v>
      </c>
      <c r="CM95" s="1">
        <f t="shared" si="177"/>
        <v>0</v>
      </c>
      <c r="CN95" s="1">
        <f>IF(ISNA(VLOOKUP($CZ95,'Audit Values'!$A$2:$AE$439,2,FALSE)),'Preliminary SO66'!T92,VLOOKUP($CZ95,'Audit Values'!$A$2:$AE$439,20,FALSE))</f>
        <v>0</v>
      </c>
      <c r="CO95" s="1">
        <f t="shared" si="182"/>
        <v>0</v>
      </c>
      <c r="CP95" s="183">
        <v>0</v>
      </c>
      <c r="CQ95" s="1">
        <f t="shared" si="183"/>
        <v>0</v>
      </c>
      <c r="CR95" s="2">
        <f>IF(ISNA(VLOOKUP($CZ95,'Audit Values'!$A$2:$AE$439,2,FALSE)),'Preliminary SO66'!V92,VLOOKUP($CZ95,'Audit Values'!$A$2:$AE$439,22,FALSE))</f>
        <v>0</v>
      </c>
      <c r="CS95" s="1">
        <f t="shared" si="184"/>
        <v>0</v>
      </c>
      <c r="CT95" s="2">
        <f>IF(ISNA(VLOOKUP($CZ95,'Audit Values'!$A$2:$AE$439,2,FALSE)),'Preliminary SO66'!W92,VLOOKUP($CZ95,'Audit Values'!$A$2:$AE$439,23,FALSE))</f>
        <v>0</v>
      </c>
      <c r="CU95" s="1">
        <f t="shared" si="189"/>
        <v>0</v>
      </c>
      <c r="CV95" s="1">
        <f t="shared" si="190"/>
        <v>0</v>
      </c>
      <c r="CW95" s="176">
        <v>0</v>
      </c>
      <c r="CX95" s="2">
        <f>IF(CW95&gt;0,Weightings!$M$11*AR95,0)</f>
        <v>0</v>
      </c>
      <c r="CY95" s="2">
        <f t="shared" si="178"/>
        <v>0</v>
      </c>
      <c r="CZ95" s="108" t="s">
        <v>387</v>
      </c>
    </row>
    <row r="96" spans="1:104">
      <c r="A96" s="82">
        <v>289</v>
      </c>
      <c r="B96" s="4" t="s">
        <v>44</v>
      </c>
      <c r="C96" s="4" t="s">
        <v>723</v>
      </c>
      <c r="D96" s="1">
        <v>789</v>
      </c>
      <c r="E96" s="1">
        <v>0</v>
      </c>
      <c r="F96" s="1">
        <f t="shared" si="187"/>
        <v>789</v>
      </c>
      <c r="G96" s="1">
        <v>776</v>
      </c>
      <c r="H96" s="1">
        <v>0</v>
      </c>
      <c r="I96" s="1">
        <f t="shared" si="142"/>
        <v>776</v>
      </c>
      <c r="J96" s="1">
        <f t="shared" si="143"/>
        <v>768.4</v>
      </c>
      <c r="K96" s="1">
        <f>IF(ISNA(VLOOKUP($CZ96,'Audit Values'!$A$2:$AE$439,2,FALSE)),'Preliminary SO66'!B93,VLOOKUP($CZ96,'Audit Values'!$A$2:$AE$439,31,FALSE))</f>
        <v>762.4</v>
      </c>
      <c r="L96" s="1">
        <f t="shared" si="144"/>
        <v>776</v>
      </c>
      <c r="M96" s="1">
        <f>IF(ISNA(VLOOKUP($CZ96,'Audit Values'!$A$2:$AE$439,2,FALSE)),'Preliminary SO66'!Z93,VLOOKUP($CZ96,'Audit Values'!$A$2:$AE$439,26,FALSE))</f>
        <v>0</v>
      </c>
      <c r="N96" s="1">
        <f t="shared" si="145"/>
        <v>776</v>
      </c>
      <c r="O96" s="1">
        <f>IF(ISNA(VLOOKUP($CZ96,'Audit Values'!$A$2:$AE$439,2,FALSE)),'Preliminary SO66'!C93,IF(VLOOKUP($CZ96,'Audit Values'!$A$2:$AE$439,28,FALSE)="",VLOOKUP($CZ96,'Audit Values'!$A$2:$AE$439,3,FALSE),VLOOKUP($CZ96,'Audit Values'!$A$2:$AE$439,28,FALSE)))</f>
        <v>0</v>
      </c>
      <c r="P96" s="109">
        <f t="shared" si="146"/>
        <v>762.4</v>
      </c>
      <c r="Q96" s="110">
        <f t="shared" si="147"/>
        <v>768.4</v>
      </c>
      <c r="R96" s="111">
        <f t="shared" si="148"/>
        <v>768.4</v>
      </c>
      <c r="S96" s="1">
        <f t="shared" si="149"/>
        <v>776</v>
      </c>
      <c r="T96" s="1">
        <f t="shared" si="185"/>
        <v>6</v>
      </c>
      <c r="U96" s="1">
        <f t="shared" si="150"/>
        <v>250.2</v>
      </c>
      <c r="V96" s="1">
        <f t="shared" si="179"/>
        <v>250.2</v>
      </c>
      <c r="W96" s="1">
        <f t="shared" si="180"/>
        <v>0</v>
      </c>
      <c r="X96" s="1">
        <f>IF(ISNA(VLOOKUP($CZ96,'Audit Values'!$A$2:$AE$439,2,FALSE)),'Preliminary SO66'!D93,VLOOKUP($CZ96,'Audit Values'!$A$2:$AE$439,4,FALSE))</f>
        <v>90</v>
      </c>
      <c r="Y96" s="1">
        <f>ROUND((X96/6)*Weightings!$M$6,1)</f>
        <v>7.5</v>
      </c>
      <c r="Z96" s="1">
        <f>IF(ISNA(VLOOKUP($CZ96,'Audit Values'!$A$2:$AE$439,2,FALSE)),'Preliminary SO66'!F93,VLOOKUP($CZ96,'Audit Values'!$A$2:$AE$439,6,FALSE))</f>
        <v>0</v>
      </c>
      <c r="AA96" s="1">
        <f>ROUND((Z96/6)*Weightings!$M$7,1)</f>
        <v>0</v>
      </c>
      <c r="AB96" s="2">
        <f>IF(ISNA(VLOOKUP($CZ96,'Audit Values'!$A$2:$AE$439,2,FALSE)),'Preliminary SO66'!H93,VLOOKUP($CZ96,'Audit Values'!$A$2:$AE$439,8,FALSE))</f>
        <v>213</v>
      </c>
      <c r="AC96" s="1">
        <f>ROUND(AB96*Weightings!$M$8,1)</f>
        <v>97.1</v>
      </c>
      <c r="AD96" s="1">
        <f t="shared" si="169"/>
        <v>0</v>
      </c>
      <c r="AE96" s="185">
        <v>73</v>
      </c>
      <c r="AF96" s="1">
        <f>AE96*Weightings!$M$9</f>
        <v>3.4</v>
      </c>
      <c r="AG96" s="1">
        <f>IF(ISNA(VLOOKUP($CZ96,'Audit Values'!$A$2:$AE$439,2,FALSE)),'Preliminary SO66'!L93,VLOOKUP($CZ96,'Audit Values'!$A$2:$AE$439,12,FALSE))</f>
        <v>0</v>
      </c>
      <c r="AH96" s="1">
        <f>ROUND(AG96*Weightings!$M$10,1)</f>
        <v>0</v>
      </c>
      <c r="AI96" s="1">
        <f>IF(ISNA(VLOOKUP($CZ96,'Audit Values'!$A$2:$AE$439,2,FALSE)),'Preliminary SO66'!O93,VLOOKUP($CZ96,'Audit Values'!$A$2:$AE$439,15,FALSE))</f>
        <v>254</v>
      </c>
      <c r="AJ96" s="1">
        <f t="shared" si="151"/>
        <v>56.9</v>
      </c>
      <c r="AK96" s="1">
        <f>CC96/Weightings!$M$5</f>
        <v>0</v>
      </c>
      <c r="AL96" s="1">
        <f>CD96/Weightings!$M$5</f>
        <v>0</v>
      </c>
      <c r="AM96" s="1">
        <f>CH96/Weightings!$M$5</f>
        <v>0</v>
      </c>
      <c r="AN96" s="1">
        <f t="shared" si="181"/>
        <v>6.3</v>
      </c>
      <c r="AO96" s="1">
        <f>IF(ISNA(VLOOKUP($CZ96,'Audit Values'!$A$2:$AE$439,2,FALSE)),'Preliminary SO66'!X93,VLOOKUP($CZ96,'Audit Values'!$A$2:$AE$439,24,FALSE))</f>
        <v>0</v>
      </c>
      <c r="AP96" s="188">
        <v>820344</v>
      </c>
      <c r="AQ96" s="113">
        <f>AP96/Weightings!$M$5</f>
        <v>213.7</v>
      </c>
      <c r="AR96" s="113">
        <f t="shared" si="152"/>
        <v>1197.4000000000001</v>
      </c>
      <c r="AS96" s="1">
        <f t="shared" si="153"/>
        <v>1411.1</v>
      </c>
      <c r="AT96" s="1">
        <f t="shared" si="154"/>
        <v>1411.1</v>
      </c>
      <c r="AU96" s="2">
        <f t="shared" si="170"/>
        <v>0</v>
      </c>
      <c r="AV96" s="82">
        <f>IF(ISNA(VLOOKUP($CZ96,'Audit Values'!$A$2:$AC$360,2,FALSE)),"",IF(AND(Weightings!H96&gt;0,VLOOKUP($CZ96,'Audit Values'!$A$2:$AC$360,29,FALSE)&lt;Weightings!H96),Weightings!H96,VLOOKUP($CZ96,'Audit Values'!$A$2:$AC$360,29,FALSE)))</f>
        <v>12</v>
      </c>
      <c r="AW96" s="82" t="str">
        <f>IF(ISNA(VLOOKUP($CZ96,'Audit Values'!$A$2:$AD$360,2,FALSE)),"",VLOOKUP($CZ96,'Audit Values'!$A$2:$AD$360,30,FALSE))</f>
        <v>A</v>
      </c>
      <c r="AX96" s="82" t="str">
        <f>IF(Weightings!G96="","",IF(Weightings!I96="Pending","PX","R"))</f>
        <v/>
      </c>
      <c r="AY96" s="114">
        <f>AR96*Weightings!$M$5+AU96</f>
        <v>4595621</v>
      </c>
      <c r="AZ96" s="2">
        <f>AT96*Weightings!$M$5+AU96</f>
        <v>5415802</v>
      </c>
      <c r="BA96" s="2">
        <f>IF(Weightings!G96&gt;0,Weightings!G96,'Preliminary SO66'!AB93)</f>
        <v>5498319</v>
      </c>
      <c r="BB96" s="2">
        <f t="shared" si="155"/>
        <v>5415802</v>
      </c>
      <c r="BC96" s="124"/>
      <c r="BD96" s="124">
        <f>Weightings!E96</f>
        <v>0</v>
      </c>
      <c r="BE96" s="124">
        <f>Weightings!F96</f>
        <v>0</v>
      </c>
      <c r="BF96" s="2">
        <f t="shared" si="156"/>
        <v>0</v>
      </c>
      <c r="BG96" s="2">
        <f t="shared" si="157"/>
        <v>5415802</v>
      </c>
      <c r="BH96" s="2">
        <f>MAX(ROUND(((AR96-AO96)*4433)+AP96,0),ROUND(((AR96-AO96)*4433)+Weightings!B96,0))</f>
        <v>6128418</v>
      </c>
      <c r="BI96" s="174">
        <v>0.3</v>
      </c>
      <c r="BJ96" s="2">
        <f t="shared" si="188"/>
        <v>1838525</v>
      </c>
      <c r="BK96" s="173">
        <v>1866527</v>
      </c>
      <c r="BL96" s="2">
        <f t="shared" si="158"/>
        <v>1838525</v>
      </c>
      <c r="BM96" s="3">
        <f t="shared" si="171"/>
        <v>0.3</v>
      </c>
      <c r="BN96" s="1">
        <f t="shared" si="159"/>
        <v>0</v>
      </c>
      <c r="BO96" s="4" t="b">
        <f t="shared" si="160"/>
        <v>0</v>
      </c>
      <c r="BP96" s="5">
        <f t="shared" si="161"/>
        <v>0</v>
      </c>
      <c r="BQ96" s="6">
        <f t="shared" si="140"/>
        <v>0</v>
      </c>
      <c r="BR96" s="4">
        <f t="shared" si="162"/>
        <v>0</v>
      </c>
      <c r="BS96" s="4" t="b">
        <f t="shared" si="163"/>
        <v>1</v>
      </c>
      <c r="BT96" s="4">
        <f t="shared" si="164"/>
        <v>589.04999999999995</v>
      </c>
      <c r="BU96" s="6">
        <f t="shared" si="141"/>
        <v>0.32246599999999997</v>
      </c>
      <c r="BV96" s="1">
        <f t="shared" si="165"/>
        <v>250.2</v>
      </c>
      <c r="BW96" s="1">
        <f t="shared" si="166"/>
        <v>0</v>
      </c>
      <c r="BX96" s="116">
        <v>130</v>
      </c>
      <c r="BY96" s="7">
        <f t="shared" si="172"/>
        <v>1.95</v>
      </c>
      <c r="BZ96" s="7">
        <f>IF(ROUND((Weightings!$P$5*BY96^Weightings!$P$6*Weightings!$P$8 ),2)&lt;Weightings!$P$7,Weightings!$P$7,ROUND((Weightings!$P$5*BY96^Weightings!$P$6*Weightings!$P$8 ),2))</f>
        <v>860.63</v>
      </c>
      <c r="CA96" s="8">
        <f>ROUND(BZ96/Weightings!$M$5,4)</f>
        <v>0.22420000000000001</v>
      </c>
      <c r="CB96" s="1">
        <f t="shared" si="173"/>
        <v>56.9</v>
      </c>
      <c r="CC96" s="173">
        <v>0</v>
      </c>
      <c r="CD96" s="173">
        <v>0</v>
      </c>
      <c r="CE96" s="173">
        <v>0</v>
      </c>
      <c r="CF96" s="177">
        <v>0</v>
      </c>
      <c r="CG96" s="2">
        <f>AS96*Weightings!$M$5*CF96</f>
        <v>0</v>
      </c>
      <c r="CH96" s="2">
        <f t="shared" si="174"/>
        <v>0</v>
      </c>
      <c r="CI96" s="117">
        <f t="shared" si="167"/>
        <v>0.27400000000000002</v>
      </c>
      <c r="CJ96" s="4">
        <f t="shared" si="168"/>
        <v>6</v>
      </c>
      <c r="CK96" s="1">
        <f t="shared" si="175"/>
        <v>0</v>
      </c>
      <c r="CL96" s="1">
        <f t="shared" si="176"/>
        <v>0</v>
      </c>
      <c r="CM96" s="1">
        <f t="shared" si="177"/>
        <v>0</v>
      </c>
      <c r="CN96" s="1">
        <f>IF(ISNA(VLOOKUP($CZ96,'Audit Values'!$A$2:$AE$439,2,FALSE)),'Preliminary SO66'!T93,VLOOKUP($CZ96,'Audit Values'!$A$2:$AE$439,20,FALSE))</f>
        <v>6</v>
      </c>
      <c r="CO96" s="1">
        <f t="shared" si="182"/>
        <v>6.3</v>
      </c>
      <c r="CP96" s="183">
        <v>0</v>
      </c>
      <c r="CQ96" s="1">
        <f t="shared" si="183"/>
        <v>0</v>
      </c>
      <c r="CR96" s="2">
        <f>IF(ISNA(VLOOKUP($CZ96,'Audit Values'!$A$2:$AE$439,2,FALSE)),'Preliminary SO66'!V93,VLOOKUP($CZ96,'Audit Values'!$A$2:$AE$439,22,FALSE))</f>
        <v>0</v>
      </c>
      <c r="CS96" s="1">
        <f t="shared" si="184"/>
        <v>0</v>
      </c>
      <c r="CT96" s="2">
        <f>IF(ISNA(VLOOKUP($CZ96,'Audit Values'!$A$2:$AE$439,2,FALSE)),'Preliminary SO66'!W93,VLOOKUP($CZ96,'Audit Values'!$A$2:$AE$439,23,FALSE))</f>
        <v>0</v>
      </c>
      <c r="CU96" s="1">
        <f t="shared" si="189"/>
        <v>0</v>
      </c>
      <c r="CV96" s="1">
        <f t="shared" si="190"/>
        <v>6.3</v>
      </c>
      <c r="CW96" s="176">
        <v>0</v>
      </c>
      <c r="CX96" s="2">
        <f>IF(CW96&gt;0,Weightings!$M$11*AR96,0)</f>
        <v>0</v>
      </c>
      <c r="CY96" s="2">
        <f t="shared" si="178"/>
        <v>0</v>
      </c>
      <c r="CZ96" s="108" t="s">
        <v>388</v>
      </c>
    </row>
    <row r="97" spans="1:104">
      <c r="A97" s="82">
        <v>290</v>
      </c>
      <c r="B97" s="4" t="s">
        <v>44</v>
      </c>
      <c r="C97" s="4" t="s">
        <v>724</v>
      </c>
      <c r="D97" s="1">
        <v>2366.9</v>
      </c>
      <c r="E97" s="1">
        <v>0</v>
      </c>
      <c r="F97" s="1">
        <f t="shared" si="187"/>
        <v>2366.9</v>
      </c>
      <c r="G97" s="1">
        <v>2371.6999999999998</v>
      </c>
      <c r="H97" s="1">
        <v>0</v>
      </c>
      <c r="I97" s="1">
        <f t="shared" si="142"/>
        <v>2371.6999999999998</v>
      </c>
      <c r="J97" s="1">
        <f t="shared" si="143"/>
        <v>2374.4</v>
      </c>
      <c r="K97" s="1">
        <f>IF(ISNA(VLOOKUP($CZ97,'Audit Values'!$A$2:$AE$439,2,FALSE)),'Preliminary SO66'!B94,VLOOKUP($CZ97,'Audit Values'!$A$2:$AE$439,31,FALSE))</f>
        <v>2355.6</v>
      </c>
      <c r="L97" s="1">
        <f t="shared" si="144"/>
        <v>2371.6999999999998</v>
      </c>
      <c r="M97" s="1">
        <f>IF(ISNA(VLOOKUP($CZ97,'Audit Values'!$A$2:$AE$439,2,FALSE)),'Preliminary SO66'!Z94,VLOOKUP($CZ97,'Audit Values'!$A$2:$AE$439,26,FALSE))</f>
        <v>0</v>
      </c>
      <c r="N97" s="1">
        <f t="shared" si="145"/>
        <v>2371.6999999999998</v>
      </c>
      <c r="O97" s="1">
        <f>IF(ISNA(VLOOKUP($CZ97,'Audit Values'!$A$2:$AE$439,2,FALSE)),'Preliminary SO66'!C94,IF(VLOOKUP($CZ97,'Audit Values'!$A$2:$AE$439,28,FALSE)="",VLOOKUP($CZ97,'Audit Values'!$A$2:$AE$439,3,FALSE),VLOOKUP($CZ97,'Audit Values'!$A$2:$AE$439,28,FALSE)))</f>
        <v>18</v>
      </c>
      <c r="P97" s="109">
        <f t="shared" si="146"/>
        <v>2373.6</v>
      </c>
      <c r="Q97" s="110">
        <f t="shared" si="147"/>
        <v>2392.4</v>
      </c>
      <c r="R97" s="111">
        <f t="shared" si="148"/>
        <v>2392.4</v>
      </c>
      <c r="S97" s="1">
        <f t="shared" si="149"/>
        <v>2389.6999999999998</v>
      </c>
      <c r="T97" s="1">
        <f t="shared" si="185"/>
        <v>18.8</v>
      </c>
      <c r="U97" s="1">
        <f t="shared" si="150"/>
        <v>83.7</v>
      </c>
      <c r="V97" s="1">
        <f t="shared" si="179"/>
        <v>0</v>
      </c>
      <c r="W97" s="1">
        <f t="shared" si="180"/>
        <v>83.7</v>
      </c>
      <c r="X97" s="1">
        <f>IF(ISNA(VLOOKUP($CZ97,'Audit Values'!$A$2:$AE$439,2,FALSE)),'Preliminary SO66'!D94,VLOOKUP($CZ97,'Audit Values'!$A$2:$AE$439,4,FALSE))</f>
        <v>490.5</v>
      </c>
      <c r="Y97" s="1">
        <f>ROUND((X97/6)*Weightings!$M$6,1)</f>
        <v>40.9</v>
      </c>
      <c r="Z97" s="1">
        <f>IF(ISNA(VLOOKUP($CZ97,'Audit Values'!$A$2:$AE$439,2,FALSE)),'Preliminary SO66'!F94,VLOOKUP($CZ97,'Audit Values'!$A$2:$AE$439,6,FALSE))</f>
        <v>29.8</v>
      </c>
      <c r="AA97" s="1">
        <f>ROUND((Z97/6)*Weightings!$M$7,1)</f>
        <v>2</v>
      </c>
      <c r="AB97" s="2">
        <f>IF(ISNA(VLOOKUP($CZ97,'Audit Values'!$A$2:$AE$439,2,FALSE)),'Preliminary SO66'!H94,VLOOKUP($CZ97,'Audit Values'!$A$2:$AE$439,8,FALSE))</f>
        <v>1191</v>
      </c>
      <c r="AC97" s="1">
        <f>ROUND(AB97*Weightings!$M$8,1)</f>
        <v>543.1</v>
      </c>
      <c r="AD97" s="1">
        <f t="shared" si="169"/>
        <v>123.4</v>
      </c>
      <c r="AE97" s="185">
        <v>171</v>
      </c>
      <c r="AF97" s="1">
        <f>AE97*Weightings!$M$9</f>
        <v>8</v>
      </c>
      <c r="AG97" s="1">
        <f>IF(ISNA(VLOOKUP($CZ97,'Audit Values'!$A$2:$AE$439,2,FALSE)),'Preliminary SO66'!L94,VLOOKUP($CZ97,'Audit Values'!$A$2:$AE$439,12,FALSE))</f>
        <v>41.4</v>
      </c>
      <c r="AH97" s="1">
        <f>ROUND(AG97*Weightings!$M$10,1)</f>
        <v>10.4</v>
      </c>
      <c r="AI97" s="1">
        <f>IF(ISNA(VLOOKUP($CZ97,'Audit Values'!$A$2:$AE$439,2,FALSE)),'Preliminary SO66'!O94,VLOOKUP($CZ97,'Audit Values'!$A$2:$AE$439,15,FALSE))</f>
        <v>560</v>
      </c>
      <c r="AJ97" s="1">
        <f t="shared" si="151"/>
        <v>102.1</v>
      </c>
      <c r="AK97" s="1">
        <f>CC97/Weightings!$M$5</f>
        <v>0</v>
      </c>
      <c r="AL97" s="1">
        <f>CD97/Weightings!$M$5</f>
        <v>0</v>
      </c>
      <c r="AM97" s="1">
        <f>CH97/Weightings!$M$5</f>
        <v>0</v>
      </c>
      <c r="AN97" s="1">
        <f t="shared" si="181"/>
        <v>19.7</v>
      </c>
      <c r="AO97" s="1">
        <f>IF(ISNA(VLOOKUP($CZ97,'Audit Values'!$A$2:$AE$439,2,FALSE)),'Preliminary SO66'!X94,VLOOKUP($CZ97,'Audit Values'!$A$2:$AE$439,24,FALSE))</f>
        <v>0</v>
      </c>
      <c r="AP97" s="188">
        <v>1894434.9999999998</v>
      </c>
      <c r="AQ97" s="113">
        <f>AP97/Weightings!$M$5</f>
        <v>493.6</v>
      </c>
      <c r="AR97" s="113">
        <f t="shared" si="152"/>
        <v>3323</v>
      </c>
      <c r="AS97" s="1">
        <f t="shared" si="153"/>
        <v>3816.6</v>
      </c>
      <c r="AT97" s="1">
        <f t="shared" si="154"/>
        <v>3816.6</v>
      </c>
      <c r="AU97" s="2">
        <f t="shared" si="170"/>
        <v>0</v>
      </c>
      <c r="AV97" s="82">
        <f>IF(ISNA(VLOOKUP($CZ97,'Audit Values'!$A$2:$AC$360,2,FALSE)),"",IF(AND(Weightings!H97&gt;0,VLOOKUP($CZ97,'Audit Values'!$A$2:$AC$360,29,FALSE)&lt;Weightings!H97),Weightings!H97,VLOOKUP($CZ97,'Audit Values'!$A$2:$AC$360,29,FALSE)))</f>
        <v>10</v>
      </c>
      <c r="AW97" s="82" t="str">
        <f>IF(ISNA(VLOOKUP($CZ97,'Audit Values'!$A$2:$AD$360,2,FALSE)),"",VLOOKUP($CZ97,'Audit Values'!$A$2:$AD$360,30,FALSE))</f>
        <v>A</v>
      </c>
      <c r="AX97" s="82" t="str">
        <f>IF(Weightings!G97="","",IF(Weightings!I97="Pending","PX","R"))</f>
        <v/>
      </c>
      <c r="AY97" s="114">
        <f>AR97*Weightings!$M$5+AU97</f>
        <v>12753674</v>
      </c>
      <c r="AZ97" s="2">
        <f>AT97*Weightings!$M$5+AU97</f>
        <v>14648111</v>
      </c>
      <c r="BA97" s="2">
        <f>IF(Weightings!G97&gt;0,Weightings!G97,'Preliminary SO66'!AB94)</f>
        <v>14736769</v>
      </c>
      <c r="BB97" s="2">
        <f t="shared" si="155"/>
        <v>14648111</v>
      </c>
      <c r="BC97" s="124"/>
      <c r="BD97" s="124">
        <f>Weightings!E97</f>
        <v>0</v>
      </c>
      <c r="BE97" s="124">
        <f>Weightings!F97</f>
        <v>0</v>
      </c>
      <c r="BF97" s="2">
        <f t="shared" si="156"/>
        <v>0</v>
      </c>
      <c r="BG97" s="2">
        <f t="shared" si="157"/>
        <v>14648111</v>
      </c>
      <c r="BH97" s="2">
        <f>MAX(ROUND(((AR97-AO97)*4433)+AP97,0),ROUND(((AR97-AO97)*4433)+Weightings!B97,0))</f>
        <v>16625294</v>
      </c>
      <c r="BI97" s="174">
        <v>0.3</v>
      </c>
      <c r="BJ97" s="2">
        <f t="shared" si="188"/>
        <v>4987588</v>
      </c>
      <c r="BK97" s="173">
        <v>5015470</v>
      </c>
      <c r="BL97" s="2">
        <f t="shared" si="158"/>
        <v>4987588</v>
      </c>
      <c r="BM97" s="3">
        <f t="shared" si="171"/>
        <v>0.3</v>
      </c>
      <c r="BN97" s="1">
        <f t="shared" si="159"/>
        <v>0</v>
      </c>
      <c r="BO97" s="4" t="b">
        <f t="shared" si="160"/>
        <v>0</v>
      </c>
      <c r="BP97" s="5">
        <f t="shared" si="161"/>
        <v>0</v>
      </c>
      <c r="BQ97" s="6">
        <f t="shared" si="140"/>
        <v>0</v>
      </c>
      <c r="BR97" s="4">
        <f t="shared" si="162"/>
        <v>0</v>
      </c>
      <c r="BS97" s="4" t="b">
        <f t="shared" si="163"/>
        <v>0</v>
      </c>
      <c r="BT97" s="4">
        <f t="shared" si="164"/>
        <v>0</v>
      </c>
      <c r="BU97" s="6">
        <f t="shared" si="141"/>
        <v>0</v>
      </c>
      <c r="BV97" s="1">
        <f t="shared" si="165"/>
        <v>0</v>
      </c>
      <c r="BW97" s="1">
        <f t="shared" si="166"/>
        <v>83.7</v>
      </c>
      <c r="BX97" s="116">
        <v>115.9</v>
      </c>
      <c r="BY97" s="7">
        <f t="shared" si="172"/>
        <v>4.83</v>
      </c>
      <c r="BZ97" s="7">
        <f>IF(ROUND((Weightings!$P$5*BY97^Weightings!$P$6*Weightings!$P$8 ),2)&lt;Weightings!$P$7,Weightings!$P$7,ROUND((Weightings!$P$5*BY97^Weightings!$P$6*Weightings!$P$8 ),2))</f>
        <v>699.79</v>
      </c>
      <c r="CA97" s="8">
        <f>ROUND(BZ97/Weightings!$M$5,4)</f>
        <v>0.18229999999999999</v>
      </c>
      <c r="CB97" s="1">
        <f t="shared" si="173"/>
        <v>102.1</v>
      </c>
      <c r="CC97" s="173">
        <v>0</v>
      </c>
      <c r="CD97" s="173">
        <v>0</v>
      </c>
      <c r="CE97" s="173">
        <v>0</v>
      </c>
      <c r="CF97" s="177">
        <v>0</v>
      </c>
      <c r="CG97" s="2">
        <f>AS97*Weightings!$M$5*CF97</f>
        <v>0</v>
      </c>
      <c r="CH97" s="2">
        <f t="shared" si="174"/>
        <v>0</v>
      </c>
      <c r="CI97" s="117">
        <f t="shared" si="167"/>
        <v>0.498</v>
      </c>
      <c r="CJ97" s="4">
        <f t="shared" si="168"/>
        <v>20.6</v>
      </c>
      <c r="CK97" s="1">
        <f t="shared" si="175"/>
        <v>0</v>
      </c>
      <c r="CL97" s="1">
        <f t="shared" si="176"/>
        <v>0</v>
      </c>
      <c r="CM97" s="1">
        <f t="shared" si="177"/>
        <v>123.4</v>
      </c>
      <c r="CN97" s="1">
        <f>IF(ISNA(VLOOKUP($CZ97,'Audit Values'!$A$2:$AE$439,2,FALSE)),'Preliminary SO66'!T94,VLOOKUP($CZ97,'Audit Values'!$A$2:$AE$439,20,FALSE))</f>
        <v>18.8</v>
      </c>
      <c r="CO97" s="1">
        <f t="shared" si="182"/>
        <v>19.7</v>
      </c>
      <c r="CP97" s="183">
        <v>0</v>
      </c>
      <c r="CQ97" s="1">
        <f t="shared" si="183"/>
        <v>0</v>
      </c>
      <c r="CR97" s="2">
        <f>IF(ISNA(VLOOKUP($CZ97,'Audit Values'!$A$2:$AE$439,2,FALSE)),'Preliminary SO66'!V94,VLOOKUP($CZ97,'Audit Values'!$A$2:$AE$439,22,FALSE))</f>
        <v>0</v>
      </c>
      <c r="CS97" s="1">
        <f t="shared" si="184"/>
        <v>0</v>
      </c>
      <c r="CT97" s="2">
        <f>IF(ISNA(VLOOKUP($CZ97,'Audit Values'!$A$2:$AE$439,2,FALSE)),'Preliminary SO66'!W94,VLOOKUP($CZ97,'Audit Values'!$A$2:$AE$439,23,FALSE))</f>
        <v>0</v>
      </c>
      <c r="CU97" s="1">
        <f t="shared" si="189"/>
        <v>0</v>
      </c>
      <c r="CV97" s="1">
        <f t="shared" si="190"/>
        <v>19.7</v>
      </c>
      <c r="CW97" s="176">
        <v>0</v>
      </c>
      <c r="CX97" s="2">
        <f>IF(CW97&gt;0,Weightings!$M$11*AR97,0)</f>
        <v>0</v>
      </c>
      <c r="CY97" s="2">
        <f t="shared" si="178"/>
        <v>0</v>
      </c>
      <c r="CZ97" s="108" t="s">
        <v>389</v>
      </c>
    </row>
    <row r="98" spans="1:104">
      <c r="A98" s="82">
        <v>291</v>
      </c>
      <c r="B98" s="4" t="s">
        <v>45</v>
      </c>
      <c r="C98" s="4" t="s">
        <v>725</v>
      </c>
      <c r="D98" s="1">
        <v>83</v>
      </c>
      <c r="E98" s="1">
        <v>0</v>
      </c>
      <c r="F98" s="1">
        <f t="shared" si="187"/>
        <v>83</v>
      </c>
      <c r="G98" s="1">
        <v>79.5</v>
      </c>
      <c r="H98" s="1">
        <v>0</v>
      </c>
      <c r="I98" s="1">
        <f t="shared" si="142"/>
        <v>79.5</v>
      </c>
      <c r="J98" s="1">
        <f t="shared" si="143"/>
        <v>90</v>
      </c>
      <c r="K98" s="1">
        <f>IF(ISNA(VLOOKUP($CZ98,'Audit Values'!$A$2:$AE$439,2,FALSE)),'Preliminary SO66'!B95,VLOOKUP($CZ98,'Audit Values'!$A$2:$AE$439,31,FALSE))</f>
        <v>90</v>
      </c>
      <c r="L98" s="1">
        <f t="shared" si="144"/>
        <v>90</v>
      </c>
      <c r="M98" s="1">
        <f>IF(ISNA(VLOOKUP($CZ98,'Audit Values'!$A$2:$AE$439,2,FALSE)),'Preliminary SO66'!Z95,VLOOKUP($CZ98,'Audit Values'!$A$2:$AE$439,26,FALSE))</f>
        <v>0</v>
      </c>
      <c r="N98" s="1">
        <f t="shared" si="145"/>
        <v>90</v>
      </c>
      <c r="O98" s="1">
        <f>IF(ISNA(VLOOKUP($CZ98,'Audit Values'!$A$2:$AE$439,2,FALSE)),'Preliminary SO66'!C95,IF(VLOOKUP($CZ98,'Audit Values'!$A$2:$AE$439,28,FALSE)="",VLOOKUP($CZ98,'Audit Values'!$A$2:$AE$439,3,FALSE),VLOOKUP($CZ98,'Audit Values'!$A$2:$AE$439,28,FALSE)))</f>
        <v>1</v>
      </c>
      <c r="P98" s="109">
        <f t="shared" si="146"/>
        <v>91</v>
      </c>
      <c r="Q98" s="110">
        <f t="shared" si="147"/>
        <v>91</v>
      </c>
      <c r="R98" s="111">
        <f t="shared" si="148"/>
        <v>91</v>
      </c>
      <c r="S98" s="1">
        <f t="shared" si="149"/>
        <v>91</v>
      </c>
      <c r="T98" s="1">
        <f t="shared" si="185"/>
        <v>0</v>
      </c>
      <c r="U98" s="1">
        <f t="shared" si="150"/>
        <v>92.3</v>
      </c>
      <c r="V98" s="1">
        <f t="shared" si="179"/>
        <v>92.3</v>
      </c>
      <c r="W98" s="1">
        <f t="shared" si="180"/>
        <v>0</v>
      </c>
      <c r="X98" s="1">
        <f>IF(ISNA(VLOOKUP($CZ98,'Audit Values'!$A$2:$AE$439,2,FALSE)),'Preliminary SO66'!D95,VLOOKUP($CZ98,'Audit Values'!$A$2:$AE$439,4,FALSE))</f>
        <v>12.7</v>
      </c>
      <c r="Y98" s="1">
        <f>ROUND((X98/6)*Weightings!$M$6,1)</f>
        <v>1.1000000000000001</v>
      </c>
      <c r="Z98" s="1">
        <f>IF(ISNA(VLOOKUP($CZ98,'Audit Values'!$A$2:$AE$439,2,FALSE)),'Preliminary SO66'!F95,VLOOKUP($CZ98,'Audit Values'!$A$2:$AE$439,6,FALSE))</f>
        <v>0</v>
      </c>
      <c r="AA98" s="1">
        <f>ROUND((Z98/6)*Weightings!$M$7,1)</f>
        <v>0</v>
      </c>
      <c r="AB98" s="2">
        <f>IF(ISNA(VLOOKUP($CZ98,'Audit Values'!$A$2:$AE$439,2,FALSE)),'Preliminary SO66'!H95,VLOOKUP($CZ98,'Audit Values'!$A$2:$AE$439,8,FALSE))</f>
        <v>34</v>
      </c>
      <c r="AC98" s="1">
        <f>ROUND(AB98*Weightings!$M$8,1)</f>
        <v>15.5</v>
      </c>
      <c r="AD98" s="1">
        <f t="shared" si="169"/>
        <v>0.6</v>
      </c>
      <c r="AE98" s="185">
        <v>8</v>
      </c>
      <c r="AF98" s="1">
        <f>AE98*Weightings!$M$9</f>
        <v>0.4</v>
      </c>
      <c r="AG98" s="1">
        <f>IF(ISNA(VLOOKUP($CZ98,'Audit Values'!$A$2:$AE$439,2,FALSE)),'Preliminary SO66'!L95,VLOOKUP($CZ98,'Audit Values'!$A$2:$AE$439,12,FALSE))</f>
        <v>0</v>
      </c>
      <c r="AH98" s="1">
        <f>ROUND(AG98*Weightings!$M$10,1)</f>
        <v>0</v>
      </c>
      <c r="AI98" s="1">
        <f>IF(ISNA(VLOOKUP($CZ98,'Audit Values'!$A$2:$AE$439,2,FALSE)),'Preliminary SO66'!O95,VLOOKUP($CZ98,'Audit Values'!$A$2:$AE$439,15,FALSE))</f>
        <v>38</v>
      </c>
      <c r="AJ98" s="1">
        <f t="shared" si="151"/>
        <v>15.5</v>
      </c>
      <c r="AK98" s="1">
        <f>CC98/Weightings!$M$5</f>
        <v>0</v>
      </c>
      <c r="AL98" s="1">
        <f>CD98/Weightings!$M$5</f>
        <v>0</v>
      </c>
      <c r="AM98" s="1">
        <f>CH98/Weightings!$M$5</f>
        <v>0</v>
      </c>
      <c r="AN98" s="1">
        <f t="shared" si="181"/>
        <v>0</v>
      </c>
      <c r="AO98" s="1">
        <f>IF(ISNA(VLOOKUP($CZ98,'Audit Values'!$A$2:$AE$439,2,FALSE)),'Preliminary SO66'!X95,VLOOKUP($CZ98,'Audit Values'!$A$2:$AE$439,24,FALSE))</f>
        <v>0</v>
      </c>
      <c r="AP98" s="188">
        <v>84900</v>
      </c>
      <c r="AQ98" s="113">
        <f>AP98/Weightings!$M$5</f>
        <v>22.1</v>
      </c>
      <c r="AR98" s="113">
        <f t="shared" si="152"/>
        <v>216.4</v>
      </c>
      <c r="AS98" s="1">
        <f t="shared" si="153"/>
        <v>238.5</v>
      </c>
      <c r="AT98" s="1">
        <f t="shared" si="154"/>
        <v>238.5</v>
      </c>
      <c r="AU98" s="2">
        <f t="shared" si="170"/>
        <v>0</v>
      </c>
      <c r="AV98" s="82">
        <f>IF(ISNA(VLOOKUP($CZ98,'Audit Values'!$A$2:$AC$360,2,FALSE)),"",IF(AND(Weightings!H98&gt;0,VLOOKUP($CZ98,'Audit Values'!$A$2:$AC$360,29,FALSE)&lt;Weightings!H98),Weightings!H98,VLOOKUP($CZ98,'Audit Values'!$A$2:$AC$360,29,FALSE)))</f>
        <v>23</v>
      </c>
      <c r="AW98" s="82" t="str">
        <f>IF(ISNA(VLOOKUP($CZ98,'Audit Values'!$A$2:$AD$360,2,FALSE)),"",VLOOKUP($CZ98,'Audit Values'!$A$2:$AD$360,30,FALSE))</f>
        <v>A</v>
      </c>
      <c r="AX98" s="82" t="str">
        <f>IF(Weightings!G98="","",IF(Weightings!I98="Pending","PX","R"))</f>
        <v>R</v>
      </c>
      <c r="AY98" s="114">
        <f>AR98*Weightings!$M$5+AU98</f>
        <v>830543</v>
      </c>
      <c r="AZ98" s="2">
        <f>AT98*Weightings!$M$5+AU98</f>
        <v>915363</v>
      </c>
      <c r="BA98" s="2">
        <f>IF(Weightings!G98&gt;0,Weightings!G98,'Preliminary SO66'!AB95)</f>
        <v>929947</v>
      </c>
      <c r="BB98" s="2">
        <f t="shared" si="155"/>
        <v>915363</v>
      </c>
      <c r="BC98" s="124"/>
      <c r="BD98" s="124">
        <f>Weightings!E98</f>
        <v>0</v>
      </c>
      <c r="BE98" s="124">
        <f>Weightings!F98</f>
        <v>0</v>
      </c>
      <c r="BF98" s="2">
        <f t="shared" si="156"/>
        <v>0</v>
      </c>
      <c r="BG98" s="2">
        <f t="shared" si="157"/>
        <v>915363</v>
      </c>
      <c r="BH98" s="2">
        <f>MAX(ROUND(((AR98-AO98)*4433)+AP98,0),ROUND(((AR98-AO98)*4433)+Weightings!B98,0))</f>
        <v>1044564</v>
      </c>
      <c r="BI98" s="174">
        <v>0.3</v>
      </c>
      <c r="BJ98" s="2">
        <f t="shared" si="188"/>
        <v>313369</v>
      </c>
      <c r="BK98" s="173">
        <v>210000</v>
      </c>
      <c r="BL98" s="2">
        <f t="shared" si="158"/>
        <v>210000</v>
      </c>
      <c r="BM98" s="3">
        <f t="shared" si="171"/>
        <v>0.20100000000000001</v>
      </c>
      <c r="BN98" s="1">
        <f t="shared" si="159"/>
        <v>92.3</v>
      </c>
      <c r="BO98" s="4" t="b">
        <f t="shared" si="160"/>
        <v>0</v>
      </c>
      <c r="BP98" s="5">
        <f t="shared" si="161"/>
        <v>0</v>
      </c>
      <c r="BQ98" s="6">
        <f t="shared" si="140"/>
        <v>0</v>
      </c>
      <c r="BR98" s="4">
        <f t="shared" si="162"/>
        <v>0</v>
      </c>
      <c r="BS98" s="4" t="b">
        <f t="shared" si="163"/>
        <v>0</v>
      </c>
      <c r="BT98" s="4">
        <f t="shared" si="164"/>
        <v>0</v>
      </c>
      <c r="BU98" s="6">
        <f t="shared" si="141"/>
        <v>0</v>
      </c>
      <c r="BV98" s="1">
        <f t="shared" si="165"/>
        <v>0</v>
      </c>
      <c r="BW98" s="1">
        <f t="shared" si="166"/>
        <v>0</v>
      </c>
      <c r="BX98" s="116">
        <v>267.8</v>
      </c>
      <c r="BY98" s="7">
        <f t="shared" si="172"/>
        <v>0.14000000000000001</v>
      </c>
      <c r="BZ98" s="7">
        <f>IF(ROUND((Weightings!$P$5*BY98^Weightings!$P$6*Weightings!$P$8 ),2)&lt;Weightings!$P$7,Weightings!$P$7,ROUND((Weightings!$P$5*BY98^Weightings!$P$6*Weightings!$P$8 ),2))</f>
        <v>1569.43</v>
      </c>
      <c r="CA98" s="8">
        <f>ROUND(BZ98/Weightings!$M$5,4)</f>
        <v>0.40889999999999999</v>
      </c>
      <c r="CB98" s="1">
        <f t="shared" si="173"/>
        <v>15.5</v>
      </c>
      <c r="CC98" s="173">
        <v>0</v>
      </c>
      <c r="CD98" s="173">
        <v>0</v>
      </c>
      <c r="CE98" s="173">
        <v>0</v>
      </c>
      <c r="CF98" s="177">
        <v>0</v>
      </c>
      <c r="CG98" s="2">
        <f>AS98*Weightings!$M$5*CF98</f>
        <v>0</v>
      </c>
      <c r="CH98" s="2">
        <f t="shared" si="174"/>
        <v>0</v>
      </c>
      <c r="CI98" s="117">
        <f t="shared" si="167"/>
        <v>0.374</v>
      </c>
      <c r="CJ98" s="4">
        <f t="shared" si="168"/>
        <v>0.3</v>
      </c>
      <c r="CK98" s="1">
        <f t="shared" si="175"/>
        <v>0</v>
      </c>
      <c r="CL98" s="1">
        <f t="shared" si="176"/>
        <v>0</v>
      </c>
      <c r="CM98" s="1">
        <f t="shared" si="177"/>
        <v>0.6</v>
      </c>
      <c r="CN98" s="1">
        <f>IF(ISNA(VLOOKUP($CZ98,'Audit Values'!$A$2:$AE$439,2,FALSE)),'Preliminary SO66'!T95,VLOOKUP($CZ98,'Audit Values'!$A$2:$AE$439,20,FALSE))</f>
        <v>0</v>
      </c>
      <c r="CO98" s="1">
        <f t="shared" si="182"/>
        <v>0</v>
      </c>
      <c r="CP98" s="183">
        <v>0</v>
      </c>
      <c r="CQ98" s="1">
        <f t="shared" si="183"/>
        <v>0</v>
      </c>
      <c r="CR98" s="2">
        <f>IF(ISNA(VLOOKUP($CZ98,'Audit Values'!$A$2:$AE$439,2,FALSE)),'Preliminary SO66'!V95,VLOOKUP($CZ98,'Audit Values'!$A$2:$AE$439,22,FALSE))</f>
        <v>0</v>
      </c>
      <c r="CS98" s="1">
        <f t="shared" si="184"/>
        <v>0</v>
      </c>
      <c r="CT98" s="2">
        <f>IF(ISNA(VLOOKUP($CZ98,'Audit Values'!$A$2:$AE$439,2,FALSE)),'Preliminary SO66'!W95,VLOOKUP($CZ98,'Audit Values'!$A$2:$AE$439,23,FALSE))</f>
        <v>0</v>
      </c>
      <c r="CU98" s="1">
        <f t="shared" si="189"/>
        <v>0</v>
      </c>
      <c r="CV98" s="1">
        <f t="shared" si="190"/>
        <v>0</v>
      </c>
      <c r="CW98" s="176">
        <v>0</v>
      </c>
      <c r="CX98" s="2">
        <f>IF(CW98&gt;0,Weightings!$M$11*AR98,0)</f>
        <v>0</v>
      </c>
      <c r="CY98" s="2">
        <f t="shared" si="178"/>
        <v>0</v>
      </c>
      <c r="CZ98" s="108" t="s">
        <v>390</v>
      </c>
    </row>
    <row r="99" spans="1:104">
      <c r="A99" s="82">
        <v>292</v>
      </c>
      <c r="B99" s="4" t="s">
        <v>45</v>
      </c>
      <c r="C99" s="4" t="s">
        <v>726</v>
      </c>
      <c r="D99" s="1">
        <v>103.5</v>
      </c>
      <c r="E99" s="1">
        <v>0</v>
      </c>
      <c r="F99" s="1">
        <f t="shared" si="187"/>
        <v>103.5</v>
      </c>
      <c r="G99" s="1">
        <v>92</v>
      </c>
      <c r="H99" s="1">
        <v>0</v>
      </c>
      <c r="I99" s="1">
        <f t="shared" si="142"/>
        <v>92</v>
      </c>
      <c r="J99" s="1">
        <f t="shared" si="143"/>
        <v>97.5</v>
      </c>
      <c r="K99" s="1">
        <f>IF(ISNA(VLOOKUP($CZ99,'Audit Values'!$A$2:$AE$439,2,FALSE)),'Preliminary SO66'!B96,VLOOKUP($CZ99,'Audit Values'!$A$2:$AE$439,31,FALSE))</f>
        <v>97.5</v>
      </c>
      <c r="L99" s="1">
        <f t="shared" si="144"/>
        <v>97.7</v>
      </c>
      <c r="M99" s="1">
        <f>IF(ISNA(VLOOKUP($CZ99,'Audit Values'!$A$2:$AE$439,2,FALSE)),'Preliminary SO66'!Z96,VLOOKUP($CZ99,'Audit Values'!$A$2:$AE$439,26,FALSE))</f>
        <v>0</v>
      </c>
      <c r="N99" s="1">
        <f t="shared" si="145"/>
        <v>97.7</v>
      </c>
      <c r="O99" s="1">
        <f>IF(ISNA(VLOOKUP($CZ99,'Audit Values'!$A$2:$AE$439,2,FALSE)),'Preliminary SO66'!C96,IF(VLOOKUP($CZ99,'Audit Values'!$A$2:$AE$439,28,FALSE)="",VLOOKUP($CZ99,'Audit Values'!$A$2:$AE$439,3,FALSE),VLOOKUP($CZ99,'Audit Values'!$A$2:$AE$439,28,FALSE)))</f>
        <v>0</v>
      </c>
      <c r="P99" s="109">
        <f t="shared" si="146"/>
        <v>97.5</v>
      </c>
      <c r="Q99" s="110">
        <f t="shared" si="147"/>
        <v>97.5</v>
      </c>
      <c r="R99" s="111">
        <f t="shared" si="148"/>
        <v>97.5</v>
      </c>
      <c r="S99" s="1">
        <f t="shared" si="149"/>
        <v>97.7</v>
      </c>
      <c r="T99" s="1">
        <f t="shared" si="185"/>
        <v>0</v>
      </c>
      <c r="U99" s="1">
        <f t="shared" si="150"/>
        <v>99.1</v>
      </c>
      <c r="V99" s="1">
        <f t="shared" si="179"/>
        <v>99.1</v>
      </c>
      <c r="W99" s="1">
        <f t="shared" si="180"/>
        <v>0</v>
      </c>
      <c r="X99" s="1">
        <f>IF(ISNA(VLOOKUP($CZ99,'Audit Values'!$A$2:$AE$439,2,FALSE)),'Preliminary SO66'!D96,VLOOKUP($CZ99,'Audit Values'!$A$2:$AE$439,4,FALSE))</f>
        <v>25.3</v>
      </c>
      <c r="Y99" s="1">
        <f>ROUND((X99/6)*Weightings!$M$6,1)</f>
        <v>2.1</v>
      </c>
      <c r="Z99" s="1">
        <f>IF(ISNA(VLOOKUP($CZ99,'Audit Values'!$A$2:$AE$439,2,FALSE)),'Preliminary SO66'!F96,VLOOKUP($CZ99,'Audit Values'!$A$2:$AE$439,6,FALSE))</f>
        <v>0</v>
      </c>
      <c r="AA99" s="1">
        <f>ROUND((Z99/6)*Weightings!$M$7,1)</f>
        <v>0</v>
      </c>
      <c r="AB99" s="2">
        <f>IF(ISNA(VLOOKUP($CZ99,'Audit Values'!$A$2:$AE$439,2,FALSE)),'Preliminary SO66'!H96,VLOOKUP($CZ99,'Audit Values'!$A$2:$AE$439,8,FALSE))</f>
        <v>23</v>
      </c>
      <c r="AC99" s="1">
        <f>ROUND(AB99*Weightings!$M$8,1)</f>
        <v>10.5</v>
      </c>
      <c r="AD99" s="1">
        <f t="shared" si="169"/>
        <v>0</v>
      </c>
      <c r="AE99" s="185">
        <v>3</v>
      </c>
      <c r="AF99" s="1">
        <f>AE99*Weightings!$M$9</f>
        <v>0.1</v>
      </c>
      <c r="AG99" s="1">
        <f>IF(ISNA(VLOOKUP($CZ99,'Audit Values'!$A$2:$AE$439,2,FALSE)),'Preliminary SO66'!L96,VLOOKUP($CZ99,'Audit Values'!$A$2:$AE$439,12,FALSE))</f>
        <v>0</v>
      </c>
      <c r="AH99" s="1">
        <f>ROUND(AG99*Weightings!$M$10,1)</f>
        <v>0</v>
      </c>
      <c r="AI99" s="1">
        <f>IF(ISNA(VLOOKUP($CZ99,'Audit Values'!$A$2:$AE$439,2,FALSE)),'Preliminary SO66'!O96,VLOOKUP($CZ99,'Audit Values'!$A$2:$AE$439,15,FALSE))</f>
        <v>68</v>
      </c>
      <c r="AJ99" s="1">
        <f t="shared" si="151"/>
        <v>27</v>
      </c>
      <c r="AK99" s="1">
        <f>CC99/Weightings!$M$5</f>
        <v>0</v>
      </c>
      <c r="AL99" s="1">
        <f>CD99/Weightings!$M$5</f>
        <v>0</v>
      </c>
      <c r="AM99" s="1">
        <f>CH99/Weightings!$M$5</f>
        <v>0</v>
      </c>
      <c r="AN99" s="1">
        <f t="shared" si="181"/>
        <v>0</v>
      </c>
      <c r="AO99" s="1">
        <f>IF(ISNA(VLOOKUP($CZ99,'Audit Values'!$A$2:$AE$439,2,FALSE)),'Preliminary SO66'!X96,VLOOKUP($CZ99,'Audit Values'!$A$2:$AE$439,24,FALSE))</f>
        <v>0</v>
      </c>
      <c r="AP99" s="188">
        <v>126928</v>
      </c>
      <c r="AQ99" s="113">
        <f>AP99/Weightings!$M$5</f>
        <v>33.1</v>
      </c>
      <c r="AR99" s="113">
        <f t="shared" si="152"/>
        <v>236.5</v>
      </c>
      <c r="AS99" s="1">
        <f t="shared" si="153"/>
        <v>269.60000000000002</v>
      </c>
      <c r="AT99" s="1">
        <f t="shared" si="154"/>
        <v>269.60000000000002</v>
      </c>
      <c r="AU99" s="2">
        <f t="shared" si="170"/>
        <v>0</v>
      </c>
      <c r="AV99" s="82">
        <f>IF(ISNA(VLOOKUP($CZ99,'Audit Values'!$A$2:$AC$360,2,FALSE)),"",IF(AND(Weightings!H99&gt;0,VLOOKUP($CZ99,'Audit Values'!$A$2:$AC$360,29,FALSE)&lt;Weightings!H99),Weightings!H99,VLOOKUP($CZ99,'Audit Values'!$A$2:$AC$360,29,FALSE)))</f>
        <v>13</v>
      </c>
      <c r="AW99" s="82" t="str">
        <f>IF(ISNA(VLOOKUP($CZ99,'Audit Values'!$A$2:$AD$360,2,FALSE)),"",VLOOKUP($CZ99,'Audit Values'!$A$2:$AD$360,30,FALSE))</f>
        <v>A</v>
      </c>
      <c r="AX99" s="82" t="str">
        <f>IF(Weightings!G99="","",IF(Weightings!I99="Pending","PX","R"))</f>
        <v/>
      </c>
      <c r="AY99" s="114">
        <f>AR99*Weightings!$M$5+AU99</f>
        <v>907687</v>
      </c>
      <c r="AZ99" s="2">
        <f>AT99*Weightings!$M$5+AU99</f>
        <v>1034725</v>
      </c>
      <c r="BA99" s="2">
        <f>IF(Weightings!G99&gt;0,Weightings!G99,'Preliminary SO66'!AB96)</f>
        <v>1075791</v>
      </c>
      <c r="BB99" s="2">
        <f t="shared" si="155"/>
        <v>1034725</v>
      </c>
      <c r="BC99" s="124"/>
      <c r="BD99" s="124">
        <f>Weightings!E99</f>
        <v>0</v>
      </c>
      <c r="BE99" s="124">
        <f>Weightings!F99</f>
        <v>0</v>
      </c>
      <c r="BF99" s="2">
        <f t="shared" si="156"/>
        <v>0</v>
      </c>
      <c r="BG99" s="2">
        <f t="shared" si="157"/>
        <v>1034725</v>
      </c>
      <c r="BH99" s="2">
        <f>MAX(ROUND(((AR99-AO99)*4433)+AP99,0),ROUND(((AR99-AO99)*4433)+Weightings!B99,0))</f>
        <v>1245870</v>
      </c>
      <c r="BI99" s="174">
        <v>0.3</v>
      </c>
      <c r="BJ99" s="2">
        <f t="shared" si="188"/>
        <v>373761</v>
      </c>
      <c r="BK99" s="173">
        <v>378283</v>
      </c>
      <c r="BL99" s="2">
        <f t="shared" si="158"/>
        <v>373761</v>
      </c>
      <c r="BM99" s="3">
        <f t="shared" si="171"/>
        <v>0.3</v>
      </c>
      <c r="BN99" s="1">
        <f t="shared" si="159"/>
        <v>99.1</v>
      </c>
      <c r="BO99" s="4" t="b">
        <f t="shared" si="160"/>
        <v>0</v>
      </c>
      <c r="BP99" s="5">
        <f t="shared" si="161"/>
        <v>0</v>
      </c>
      <c r="BQ99" s="6">
        <f t="shared" si="140"/>
        <v>0</v>
      </c>
      <c r="BR99" s="4">
        <f t="shared" si="162"/>
        <v>0</v>
      </c>
      <c r="BS99" s="4" t="b">
        <f t="shared" si="163"/>
        <v>0</v>
      </c>
      <c r="BT99" s="4">
        <f t="shared" si="164"/>
        <v>0</v>
      </c>
      <c r="BU99" s="6">
        <f t="shared" si="141"/>
        <v>0</v>
      </c>
      <c r="BV99" s="1">
        <f t="shared" si="165"/>
        <v>0</v>
      </c>
      <c r="BW99" s="1">
        <f t="shared" si="166"/>
        <v>0</v>
      </c>
      <c r="BX99" s="116">
        <v>437</v>
      </c>
      <c r="BY99" s="7">
        <f t="shared" si="172"/>
        <v>0.16</v>
      </c>
      <c r="BZ99" s="7">
        <f>IF(ROUND((Weightings!$P$5*BY99^Weightings!$P$6*Weightings!$P$8 ),2)&lt;Weightings!$P$7,Weightings!$P$7,ROUND((Weightings!$P$5*BY99^Weightings!$P$6*Weightings!$P$8 ),2))</f>
        <v>1522.35</v>
      </c>
      <c r="CA99" s="8">
        <f>ROUND(BZ99/Weightings!$M$5,4)</f>
        <v>0.3967</v>
      </c>
      <c r="CB99" s="1">
        <f t="shared" si="173"/>
        <v>27</v>
      </c>
      <c r="CC99" s="173">
        <v>0</v>
      </c>
      <c r="CD99" s="173">
        <v>0</v>
      </c>
      <c r="CE99" s="173">
        <v>0</v>
      </c>
      <c r="CF99" s="177">
        <v>0</v>
      </c>
      <c r="CG99" s="2">
        <f>AS99*Weightings!$M$5*CF99</f>
        <v>0</v>
      </c>
      <c r="CH99" s="2">
        <f t="shared" si="174"/>
        <v>0</v>
      </c>
      <c r="CI99" s="117">
        <f t="shared" si="167"/>
        <v>0.23499999999999999</v>
      </c>
      <c r="CJ99" s="4">
        <f t="shared" si="168"/>
        <v>0.2</v>
      </c>
      <c r="CK99" s="1">
        <f t="shared" si="175"/>
        <v>0</v>
      </c>
      <c r="CL99" s="1">
        <f t="shared" si="176"/>
        <v>0</v>
      </c>
      <c r="CM99" s="1">
        <f t="shared" si="177"/>
        <v>0</v>
      </c>
      <c r="CN99" s="1">
        <f>IF(ISNA(VLOOKUP($CZ99,'Audit Values'!$A$2:$AE$439,2,FALSE)),'Preliminary SO66'!T96,VLOOKUP($CZ99,'Audit Values'!$A$2:$AE$439,20,FALSE))</f>
        <v>0</v>
      </c>
      <c r="CO99" s="1">
        <f t="shared" si="182"/>
        <v>0</v>
      </c>
      <c r="CP99" s="183">
        <v>0</v>
      </c>
      <c r="CQ99" s="1">
        <f t="shared" si="183"/>
        <v>0</v>
      </c>
      <c r="CR99" s="2">
        <f>IF(ISNA(VLOOKUP($CZ99,'Audit Values'!$A$2:$AE$439,2,FALSE)),'Preliminary SO66'!V96,VLOOKUP($CZ99,'Audit Values'!$A$2:$AE$439,22,FALSE))</f>
        <v>0</v>
      </c>
      <c r="CS99" s="1">
        <f t="shared" si="184"/>
        <v>0</v>
      </c>
      <c r="CT99" s="2">
        <f>IF(ISNA(VLOOKUP($CZ99,'Audit Values'!$A$2:$AE$439,2,FALSE)),'Preliminary SO66'!W96,VLOOKUP($CZ99,'Audit Values'!$A$2:$AE$439,23,FALSE))</f>
        <v>0</v>
      </c>
      <c r="CU99" s="1">
        <f t="shared" si="189"/>
        <v>0</v>
      </c>
      <c r="CV99" s="1">
        <f t="shared" si="190"/>
        <v>0</v>
      </c>
      <c r="CW99" s="176">
        <v>0</v>
      </c>
      <c r="CX99" s="2">
        <f>IF(CW99&gt;0,Weightings!$M$11*AR99,0)</f>
        <v>0</v>
      </c>
      <c r="CY99" s="2">
        <f t="shared" si="178"/>
        <v>0</v>
      </c>
      <c r="CZ99" s="108" t="s">
        <v>391</v>
      </c>
    </row>
    <row r="100" spans="1:104">
      <c r="A100" s="82">
        <v>293</v>
      </c>
      <c r="B100" s="4" t="s">
        <v>45</v>
      </c>
      <c r="C100" s="4" t="s">
        <v>727</v>
      </c>
      <c r="D100" s="1">
        <v>279.5</v>
      </c>
      <c r="E100" s="1">
        <v>0</v>
      </c>
      <c r="F100" s="1">
        <f t="shared" si="187"/>
        <v>279.5</v>
      </c>
      <c r="G100" s="1">
        <v>286.7</v>
      </c>
      <c r="H100" s="1">
        <v>0</v>
      </c>
      <c r="I100" s="1">
        <f t="shared" si="142"/>
        <v>286.7</v>
      </c>
      <c r="J100" s="1">
        <f t="shared" si="143"/>
        <v>285.5</v>
      </c>
      <c r="K100" s="1">
        <f>IF(ISNA(VLOOKUP($CZ100,'Audit Values'!$A$2:$AE$439,2,FALSE)),'Preliminary SO66'!B97,VLOOKUP($CZ100,'Audit Values'!$A$2:$AE$439,31,FALSE))</f>
        <v>285.5</v>
      </c>
      <c r="L100" s="1">
        <f t="shared" si="144"/>
        <v>286.7</v>
      </c>
      <c r="M100" s="1">
        <f>IF(ISNA(VLOOKUP($CZ100,'Audit Values'!$A$2:$AE$439,2,FALSE)),'Preliminary SO66'!Z97,VLOOKUP($CZ100,'Audit Values'!$A$2:$AE$439,26,FALSE))</f>
        <v>0</v>
      </c>
      <c r="N100" s="1">
        <f t="shared" si="145"/>
        <v>286.7</v>
      </c>
      <c r="O100" s="1">
        <f>IF(ISNA(VLOOKUP($CZ100,'Audit Values'!$A$2:$AE$439,2,FALSE)),'Preliminary SO66'!C97,IF(VLOOKUP($CZ100,'Audit Values'!$A$2:$AE$439,28,FALSE)="",VLOOKUP($CZ100,'Audit Values'!$A$2:$AE$439,3,FALSE),VLOOKUP($CZ100,'Audit Values'!$A$2:$AE$439,28,FALSE)))</f>
        <v>3</v>
      </c>
      <c r="P100" s="109">
        <f t="shared" si="146"/>
        <v>288.5</v>
      </c>
      <c r="Q100" s="110">
        <f t="shared" si="147"/>
        <v>288.5</v>
      </c>
      <c r="R100" s="111">
        <f t="shared" si="148"/>
        <v>288.5</v>
      </c>
      <c r="S100" s="1">
        <f t="shared" si="149"/>
        <v>289.7</v>
      </c>
      <c r="T100" s="1">
        <f t="shared" si="185"/>
        <v>0</v>
      </c>
      <c r="U100" s="1">
        <f t="shared" si="150"/>
        <v>148.19999999999999</v>
      </c>
      <c r="V100" s="1">
        <f t="shared" si="179"/>
        <v>148.19999999999999</v>
      </c>
      <c r="W100" s="1">
        <f t="shared" si="180"/>
        <v>0</v>
      </c>
      <c r="X100" s="1">
        <f>IF(ISNA(VLOOKUP($CZ100,'Audit Values'!$A$2:$AE$439,2,FALSE)),'Preliminary SO66'!D97,VLOOKUP($CZ100,'Audit Values'!$A$2:$AE$439,4,FALSE))</f>
        <v>61</v>
      </c>
      <c r="Y100" s="1">
        <f>ROUND((X100/6)*Weightings!$M$6,1)</f>
        <v>5.0999999999999996</v>
      </c>
      <c r="Z100" s="1">
        <f>IF(ISNA(VLOOKUP($CZ100,'Audit Values'!$A$2:$AE$439,2,FALSE)),'Preliminary SO66'!F97,VLOOKUP($CZ100,'Audit Values'!$A$2:$AE$439,6,FALSE))</f>
        <v>13.3</v>
      </c>
      <c r="AA100" s="1">
        <f>ROUND((Z100/6)*Weightings!$M$7,1)</f>
        <v>0.9</v>
      </c>
      <c r="AB100" s="2">
        <f>IF(ISNA(VLOOKUP($CZ100,'Audit Values'!$A$2:$AE$439,2,FALSE)),'Preliminary SO66'!H97,VLOOKUP($CZ100,'Audit Values'!$A$2:$AE$439,8,FALSE))</f>
        <v>73</v>
      </c>
      <c r="AC100" s="1">
        <f>ROUND(AB100*Weightings!$M$8,1)</f>
        <v>33.299999999999997</v>
      </c>
      <c r="AD100" s="1">
        <f t="shared" si="169"/>
        <v>0</v>
      </c>
      <c r="AE100" s="185">
        <v>29</v>
      </c>
      <c r="AF100" s="1">
        <f>AE100*Weightings!$M$9</f>
        <v>1.3</v>
      </c>
      <c r="AG100" s="1">
        <f>IF(ISNA(VLOOKUP($CZ100,'Audit Values'!$A$2:$AE$439,2,FALSE)),'Preliminary SO66'!L97,VLOOKUP($CZ100,'Audit Values'!$A$2:$AE$439,12,FALSE))</f>
        <v>0</v>
      </c>
      <c r="AH100" s="1">
        <f>ROUND(AG100*Weightings!$M$10,1)</f>
        <v>0</v>
      </c>
      <c r="AI100" s="1">
        <f>IF(ISNA(VLOOKUP($CZ100,'Audit Values'!$A$2:$AE$439,2,FALSE)),'Preliminary SO66'!O97,VLOOKUP($CZ100,'Audit Values'!$A$2:$AE$439,15,FALSE))</f>
        <v>56</v>
      </c>
      <c r="AJ100" s="1">
        <f t="shared" si="151"/>
        <v>22.9</v>
      </c>
      <c r="AK100" s="1">
        <f>CC100/Weightings!$M$5</f>
        <v>0</v>
      </c>
      <c r="AL100" s="1">
        <f>CD100/Weightings!$M$5</f>
        <v>0</v>
      </c>
      <c r="AM100" s="1">
        <f>CH100/Weightings!$M$5</f>
        <v>0</v>
      </c>
      <c r="AN100" s="1">
        <f t="shared" si="181"/>
        <v>0</v>
      </c>
      <c r="AO100" s="1">
        <f>IF(ISNA(VLOOKUP($CZ100,'Audit Values'!$A$2:$AE$439,2,FALSE)),'Preliminary SO66'!X97,VLOOKUP($CZ100,'Audit Values'!$A$2:$AE$439,24,FALSE))</f>
        <v>0</v>
      </c>
      <c r="AP100" s="188">
        <v>579795.00000000012</v>
      </c>
      <c r="AQ100" s="113">
        <f>AP100/Weightings!$M$5</f>
        <v>151.1</v>
      </c>
      <c r="AR100" s="113">
        <f t="shared" si="152"/>
        <v>501.4</v>
      </c>
      <c r="AS100" s="1">
        <f t="shared" si="153"/>
        <v>652.5</v>
      </c>
      <c r="AT100" s="1">
        <f t="shared" si="154"/>
        <v>652.5</v>
      </c>
      <c r="AU100" s="2">
        <f t="shared" si="170"/>
        <v>0</v>
      </c>
      <c r="AV100" s="82">
        <f>IF(ISNA(VLOOKUP($CZ100,'Audit Values'!$A$2:$AC$360,2,FALSE)),"",IF(AND(Weightings!H100&gt;0,VLOOKUP($CZ100,'Audit Values'!$A$2:$AC$360,29,FALSE)&lt;Weightings!H100),Weightings!H100,VLOOKUP($CZ100,'Audit Values'!$A$2:$AC$360,29,FALSE)))</f>
        <v>21</v>
      </c>
      <c r="AW100" s="82" t="str">
        <f>IF(ISNA(VLOOKUP($CZ100,'Audit Values'!$A$2:$AD$360,2,FALSE)),"",VLOOKUP($CZ100,'Audit Values'!$A$2:$AD$360,30,FALSE))</f>
        <v>A</v>
      </c>
      <c r="AX100" s="82" t="str">
        <f>IF(Weightings!G100="","",IF(Weightings!I100="Pending","PX","R"))</f>
        <v/>
      </c>
      <c r="AY100" s="114">
        <f>AR100*Weightings!$M$5+AU100</f>
        <v>1924373</v>
      </c>
      <c r="AZ100" s="2">
        <f>AT100*Weightings!$M$5+AU100</f>
        <v>2504295</v>
      </c>
      <c r="BA100" s="2">
        <f>IF(Weightings!G100&gt;0,Weightings!G100,'Preliminary SO66'!AB97)</f>
        <v>2591418</v>
      </c>
      <c r="BB100" s="2">
        <f t="shared" si="155"/>
        <v>2504295</v>
      </c>
      <c r="BC100" s="124"/>
      <c r="BD100" s="124">
        <f>Weightings!E100</f>
        <v>0</v>
      </c>
      <c r="BE100" s="124">
        <f>Weightings!F100</f>
        <v>0</v>
      </c>
      <c r="BF100" s="2">
        <f t="shared" si="156"/>
        <v>0</v>
      </c>
      <c r="BG100" s="2">
        <f t="shared" si="157"/>
        <v>2504295</v>
      </c>
      <c r="BH100" s="2">
        <f>MAX(ROUND(((AR100-AO100)*4433)+AP100,0),ROUND(((AR100-AO100)*4433)+Weightings!B100,0))</f>
        <v>2802501</v>
      </c>
      <c r="BI100" s="174">
        <v>0.3</v>
      </c>
      <c r="BJ100" s="2">
        <f t="shared" si="188"/>
        <v>840750</v>
      </c>
      <c r="BK100" s="173">
        <v>869929</v>
      </c>
      <c r="BL100" s="2">
        <f t="shared" si="158"/>
        <v>840750</v>
      </c>
      <c r="BM100" s="3">
        <f t="shared" si="171"/>
        <v>0.3</v>
      </c>
      <c r="BN100" s="1">
        <f t="shared" si="159"/>
        <v>0</v>
      </c>
      <c r="BO100" s="4" t="b">
        <f t="shared" si="160"/>
        <v>1</v>
      </c>
      <c r="BP100" s="5">
        <f t="shared" si="161"/>
        <v>1831.5540000000001</v>
      </c>
      <c r="BQ100" s="6">
        <f t="shared" si="140"/>
        <v>0.51148899999999997</v>
      </c>
      <c r="BR100" s="4">
        <f t="shared" si="162"/>
        <v>148.19999999999999</v>
      </c>
      <c r="BS100" s="4" t="b">
        <f t="shared" si="163"/>
        <v>0</v>
      </c>
      <c r="BT100" s="4">
        <f t="shared" si="164"/>
        <v>0</v>
      </c>
      <c r="BU100" s="6">
        <f t="shared" si="141"/>
        <v>0</v>
      </c>
      <c r="BV100" s="1">
        <f t="shared" si="165"/>
        <v>0</v>
      </c>
      <c r="BW100" s="1">
        <f t="shared" si="166"/>
        <v>0</v>
      </c>
      <c r="BX100" s="116">
        <v>400.8</v>
      </c>
      <c r="BY100" s="7">
        <f t="shared" si="172"/>
        <v>0.14000000000000001</v>
      </c>
      <c r="BZ100" s="7">
        <f>IF(ROUND((Weightings!$P$5*BY100^Weightings!$P$6*Weightings!$P$8 ),2)&lt;Weightings!$P$7,Weightings!$P$7,ROUND((Weightings!$P$5*BY100^Weightings!$P$6*Weightings!$P$8 ),2))</f>
        <v>1569.43</v>
      </c>
      <c r="CA100" s="8">
        <f>ROUND(BZ100/Weightings!$M$5,4)</f>
        <v>0.40889999999999999</v>
      </c>
      <c r="CB100" s="1">
        <f t="shared" si="173"/>
        <v>22.9</v>
      </c>
      <c r="CC100" s="173">
        <v>0</v>
      </c>
      <c r="CD100" s="173">
        <v>0</v>
      </c>
      <c r="CE100" s="173">
        <v>0</v>
      </c>
      <c r="CF100" s="177">
        <v>0</v>
      </c>
      <c r="CG100" s="2">
        <f>AS100*Weightings!$M$5*CF100</f>
        <v>0</v>
      </c>
      <c r="CH100" s="2">
        <f t="shared" si="174"/>
        <v>0</v>
      </c>
      <c r="CI100" s="117">
        <f t="shared" si="167"/>
        <v>0.252</v>
      </c>
      <c r="CJ100" s="4">
        <f t="shared" si="168"/>
        <v>0.7</v>
      </c>
      <c r="CK100" s="1">
        <f t="shared" si="175"/>
        <v>0</v>
      </c>
      <c r="CL100" s="1">
        <f t="shared" si="176"/>
        <v>0</v>
      </c>
      <c r="CM100" s="1">
        <f t="shared" si="177"/>
        <v>0</v>
      </c>
      <c r="CN100" s="1">
        <f>IF(ISNA(VLOOKUP($CZ100,'Audit Values'!$A$2:$AE$439,2,FALSE)),'Preliminary SO66'!T97,VLOOKUP($CZ100,'Audit Values'!$A$2:$AE$439,20,FALSE))</f>
        <v>0</v>
      </c>
      <c r="CO100" s="1">
        <f t="shared" si="182"/>
        <v>0</v>
      </c>
      <c r="CP100" s="183">
        <v>0</v>
      </c>
      <c r="CQ100" s="1">
        <f t="shared" si="183"/>
        <v>0</v>
      </c>
      <c r="CR100" s="2">
        <f>IF(ISNA(VLOOKUP($CZ100,'Audit Values'!$A$2:$AE$439,2,FALSE)),'Preliminary SO66'!V97,VLOOKUP($CZ100,'Audit Values'!$A$2:$AE$439,22,FALSE))</f>
        <v>0</v>
      </c>
      <c r="CS100" s="1">
        <f t="shared" si="184"/>
        <v>0</v>
      </c>
      <c r="CT100" s="2">
        <f>IF(ISNA(VLOOKUP($CZ100,'Audit Values'!$A$2:$AE$439,2,FALSE)),'Preliminary SO66'!W97,VLOOKUP($CZ100,'Audit Values'!$A$2:$AE$439,23,FALSE))</f>
        <v>0</v>
      </c>
      <c r="CU100" s="1">
        <f t="shared" si="189"/>
        <v>0</v>
      </c>
      <c r="CV100" s="1">
        <f t="shared" si="190"/>
        <v>0</v>
      </c>
      <c r="CW100" s="176">
        <v>0</v>
      </c>
      <c r="CX100" s="2">
        <f>IF(CW100&gt;0,Weightings!$M$11*AR100,0)</f>
        <v>0</v>
      </c>
      <c r="CY100" s="2">
        <f t="shared" si="178"/>
        <v>0</v>
      </c>
      <c r="CZ100" s="108" t="s">
        <v>392</v>
      </c>
    </row>
    <row r="101" spans="1:104">
      <c r="A101" s="82">
        <v>294</v>
      </c>
      <c r="B101" s="4" t="s">
        <v>46</v>
      </c>
      <c r="C101" s="4" t="s">
        <v>728</v>
      </c>
      <c r="D101" s="1">
        <v>335.1</v>
      </c>
      <c r="E101" s="1">
        <v>0</v>
      </c>
      <c r="F101" s="1">
        <f t="shared" si="187"/>
        <v>335.1</v>
      </c>
      <c r="G101" s="1">
        <v>343</v>
      </c>
      <c r="H101" s="1">
        <v>0</v>
      </c>
      <c r="I101" s="1">
        <f t="shared" si="142"/>
        <v>343</v>
      </c>
      <c r="J101" s="1">
        <f t="shared" si="143"/>
        <v>344.5</v>
      </c>
      <c r="K101" s="1">
        <f>IF(ISNA(VLOOKUP($CZ101,'Audit Values'!$A$2:$AE$439,2,FALSE)),'Preliminary SO66'!B98,VLOOKUP($CZ101,'Audit Values'!$A$2:$AE$439,31,FALSE))</f>
        <v>344.5</v>
      </c>
      <c r="L101" s="1">
        <f t="shared" si="144"/>
        <v>344.5</v>
      </c>
      <c r="M101" s="1">
        <f>IF(ISNA(VLOOKUP($CZ101,'Audit Values'!$A$2:$AE$439,2,FALSE)),'Preliminary SO66'!Z98,VLOOKUP($CZ101,'Audit Values'!$A$2:$AE$439,26,FALSE))</f>
        <v>0</v>
      </c>
      <c r="N101" s="1">
        <f t="shared" si="145"/>
        <v>344.5</v>
      </c>
      <c r="O101" s="1">
        <f>IF(ISNA(VLOOKUP($CZ101,'Audit Values'!$A$2:$AE$439,2,FALSE)),'Preliminary SO66'!C98,IF(VLOOKUP($CZ101,'Audit Values'!$A$2:$AE$439,28,FALSE)="",VLOOKUP($CZ101,'Audit Values'!$A$2:$AE$439,3,FALSE),VLOOKUP($CZ101,'Audit Values'!$A$2:$AE$439,28,FALSE)))</f>
        <v>0</v>
      </c>
      <c r="P101" s="109">
        <f t="shared" si="146"/>
        <v>344.5</v>
      </c>
      <c r="Q101" s="110">
        <f t="shared" si="147"/>
        <v>344.5</v>
      </c>
      <c r="R101" s="111">
        <f t="shared" si="148"/>
        <v>344.5</v>
      </c>
      <c r="S101" s="1">
        <f t="shared" si="149"/>
        <v>344.5</v>
      </c>
      <c r="T101" s="1">
        <f t="shared" si="185"/>
        <v>0</v>
      </c>
      <c r="U101" s="1">
        <f t="shared" si="150"/>
        <v>161.6</v>
      </c>
      <c r="V101" s="1">
        <f t="shared" si="179"/>
        <v>161.6</v>
      </c>
      <c r="W101" s="1">
        <f t="shared" si="180"/>
        <v>0</v>
      </c>
      <c r="X101" s="1">
        <f>IF(ISNA(VLOOKUP($CZ101,'Audit Values'!$A$2:$AE$439,2,FALSE)),'Preliminary SO66'!D98,VLOOKUP($CZ101,'Audit Values'!$A$2:$AE$439,4,FALSE))</f>
        <v>97.5</v>
      </c>
      <c r="Y101" s="1">
        <f>ROUND((X101/6)*Weightings!$M$6,1)</f>
        <v>8.1</v>
      </c>
      <c r="Z101" s="1">
        <f>IF(ISNA(VLOOKUP($CZ101,'Audit Values'!$A$2:$AE$439,2,FALSE)),'Preliminary SO66'!F98,VLOOKUP($CZ101,'Audit Values'!$A$2:$AE$439,6,FALSE))</f>
        <v>0</v>
      </c>
      <c r="AA101" s="1">
        <f>ROUND((Z101/6)*Weightings!$M$7,1)</f>
        <v>0</v>
      </c>
      <c r="AB101" s="2">
        <f>IF(ISNA(VLOOKUP($CZ101,'Audit Values'!$A$2:$AE$439,2,FALSE)),'Preliminary SO66'!H98,VLOOKUP($CZ101,'Audit Values'!$A$2:$AE$439,8,FALSE))</f>
        <v>114</v>
      </c>
      <c r="AC101" s="1">
        <f>ROUND(AB101*Weightings!$M$8,1)</f>
        <v>52</v>
      </c>
      <c r="AD101" s="1">
        <f t="shared" si="169"/>
        <v>0</v>
      </c>
      <c r="AE101" s="185">
        <v>42</v>
      </c>
      <c r="AF101" s="1">
        <f>AE101*Weightings!$M$9</f>
        <v>2</v>
      </c>
      <c r="AG101" s="1">
        <f>IF(ISNA(VLOOKUP($CZ101,'Audit Values'!$A$2:$AE$439,2,FALSE)),'Preliminary SO66'!L98,VLOOKUP($CZ101,'Audit Values'!$A$2:$AE$439,12,FALSE))</f>
        <v>0</v>
      </c>
      <c r="AH101" s="1">
        <f>ROUND(AG101*Weightings!$M$10,1)</f>
        <v>0</v>
      </c>
      <c r="AI101" s="1">
        <f>IF(ISNA(VLOOKUP($CZ101,'Audit Values'!$A$2:$AE$439,2,FALSE)),'Preliminary SO66'!O98,VLOOKUP($CZ101,'Audit Values'!$A$2:$AE$439,15,FALSE))</f>
        <v>73.5</v>
      </c>
      <c r="AJ101" s="1">
        <f t="shared" si="151"/>
        <v>33.200000000000003</v>
      </c>
      <c r="AK101" s="1">
        <f>CC101/Weightings!$M$5</f>
        <v>0</v>
      </c>
      <c r="AL101" s="1">
        <f>CD101/Weightings!$M$5</f>
        <v>0</v>
      </c>
      <c r="AM101" s="1">
        <f>CH101/Weightings!$M$5</f>
        <v>0</v>
      </c>
      <c r="AN101" s="1">
        <f t="shared" si="181"/>
        <v>0</v>
      </c>
      <c r="AO101" s="1">
        <f>IF(ISNA(VLOOKUP($CZ101,'Audit Values'!$A$2:$AE$439,2,FALSE)),'Preliminary SO66'!X98,VLOOKUP($CZ101,'Audit Values'!$A$2:$AE$439,24,FALSE))</f>
        <v>0</v>
      </c>
      <c r="AP101" s="188">
        <v>339632</v>
      </c>
      <c r="AQ101" s="113">
        <f>AP101/Weightings!$M$5</f>
        <v>88.5</v>
      </c>
      <c r="AR101" s="113">
        <f t="shared" si="152"/>
        <v>601.4</v>
      </c>
      <c r="AS101" s="1">
        <f t="shared" si="153"/>
        <v>689.9</v>
      </c>
      <c r="AT101" s="1">
        <f t="shared" si="154"/>
        <v>689.9</v>
      </c>
      <c r="AU101" s="189">
        <v>0</v>
      </c>
      <c r="AV101" s="82">
        <f>IF(ISNA(VLOOKUP($CZ101,'Audit Values'!$A$2:$AC$360,2,FALSE)),"",IF(AND(Weightings!H101&gt;0,VLOOKUP($CZ101,'Audit Values'!$A$2:$AC$360,29,FALSE)&lt;Weightings!H101),Weightings!H101,VLOOKUP($CZ101,'Audit Values'!$A$2:$AC$360,29,FALSE)))</f>
        <v>8</v>
      </c>
      <c r="AW101" s="82" t="str">
        <f>IF(ISNA(VLOOKUP($CZ101,'Audit Values'!$A$2:$AD$360,2,FALSE)),"",VLOOKUP($CZ101,'Audit Values'!$A$2:$AD$360,30,FALSE))</f>
        <v>A</v>
      </c>
      <c r="AX101" s="82" t="str">
        <f>IF(Weightings!G101="","",IF(Weightings!I101="Pending","PX","R"))</f>
        <v/>
      </c>
      <c r="AY101" s="114">
        <f>AR101*Weightings!$M$5+AU101</f>
        <v>2308173</v>
      </c>
      <c r="AZ101" s="2">
        <f>AT101*Weightings!$M$5+AU101</f>
        <v>2647836</v>
      </c>
      <c r="BA101" s="2">
        <f>IF(Weightings!G101&gt;0,Weightings!G101,'Preliminary SO66'!AB98)</f>
        <v>2853115</v>
      </c>
      <c r="BB101" s="2">
        <f t="shared" si="155"/>
        <v>2647836</v>
      </c>
      <c r="BC101" s="124"/>
      <c r="BD101" s="124">
        <f>Weightings!E101</f>
        <v>0</v>
      </c>
      <c r="BE101" s="124">
        <f>Weightings!F101</f>
        <v>0</v>
      </c>
      <c r="BF101" s="2">
        <f t="shared" si="156"/>
        <v>0</v>
      </c>
      <c r="BG101" s="2">
        <f t="shared" si="157"/>
        <v>2647836</v>
      </c>
      <c r="BH101" s="2">
        <f>MAX(ROUND(((AR101-AO101)*4433)+AP101,0),ROUND(((AR101-AO101)*4433)+Weightings!B101,0))</f>
        <v>3005638</v>
      </c>
      <c r="BI101" s="174">
        <v>0.3</v>
      </c>
      <c r="BJ101" s="2">
        <f t="shared" si="188"/>
        <v>901691</v>
      </c>
      <c r="BK101" s="173">
        <v>927379</v>
      </c>
      <c r="BL101" s="2">
        <f t="shared" si="158"/>
        <v>901691</v>
      </c>
      <c r="BM101" s="3">
        <f t="shared" si="171"/>
        <v>0.3</v>
      </c>
      <c r="BN101" s="1">
        <f t="shared" si="159"/>
        <v>0</v>
      </c>
      <c r="BO101" s="4" t="b">
        <f t="shared" si="160"/>
        <v>0</v>
      </c>
      <c r="BP101" s="5">
        <f t="shared" si="161"/>
        <v>0</v>
      </c>
      <c r="BQ101" s="6">
        <f t="shared" si="140"/>
        <v>0</v>
      </c>
      <c r="BR101" s="4">
        <f t="shared" si="162"/>
        <v>0</v>
      </c>
      <c r="BS101" s="4" t="b">
        <f t="shared" si="163"/>
        <v>1</v>
      </c>
      <c r="BT101" s="4">
        <f t="shared" si="164"/>
        <v>55.068800000000003</v>
      </c>
      <c r="BU101" s="6">
        <f t="shared" si="141"/>
        <v>0.46906700000000001</v>
      </c>
      <c r="BV101" s="1">
        <f t="shared" si="165"/>
        <v>161.6</v>
      </c>
      <c r="BW101" s="1">
        <f t="shared" si="166"/>
        <v>0</v>
      </c>
      <c r="BX101" s="116">
        <v>828</v>
      </c>
      <c r="BY101" s="7">
        <f t="shared" si="172"/>
        <v>0.09</v>
      </c>
      <c r="BZ101" s="7">
        <f>IF(ROUND((Weightings!$P$5*BY101^Weightings!$P$6*Weightings!$P$8 ),2)&lt;Weightings!$P$7,Weightings!$P$7,ROUND((Weightings!$P$5*BY101^Weightings!$P$6*Weightings!$P$8 ),2))</f>
        <v>1735.85</v>
      </c>
      <c r="CA101" s="8">
        <f>ROUND(BZ101/Weightings!$M$5,4)</f>
        <v>0.45229999999999998</v>
      </c>
      <c r="CB101" s="1">
        <f t="shared" si="173"/>
        <v>33.200000000000003</v>
      </c>
      <c r="CC101" s="173">
        <v>0</v>
      </c>
      <c r="CD101" s="173">
        <v>0</v>
      </c>
      <c r="CE101" s="173">
        <v>0</v>
      </c>
      <c r="CF101" s="177">
        <v>0</v>
      </c>
      <c r="CG101" s="2">
        <f>AS101*Weightings!$M$5*CF101</f>
        <v>0</v>
      </c>
      <c r="CH101" s="2">
        <f t="shared" si="174"/>
        <v>0</v>
      </c>
      <c r="CI101" s="117">
        <f t="shared" si="167"/>
        <v>0.33100000000000002</v>
      </c>
      <c r="CJ101" s="4">
        <f t="shared" si="168"/>
        <v>0.4</v>
      </c>
      <c r="CK101" s="1">
        <f t="shared" si="175"/>
        <v>0</v>
      </c>
      <c r="CL101" s="1">
        <f t="shared" si="176"/>
        <v>0</v>
      </c>
      <c r="CM101" s="1">
        <f t="shared" si="177"/>
        <v>0</v>
      </c>
      <c r="CN101" s="1">
        <f>IF(ISNA(VLOOKUP($CZ101,'Audit Values'!$A$2:$AE$439,2,FALSE)),'Preliminary SO66'!T98,VLOOKUP($CZ101,'Audit Values'!$A$2:$AE$439,20,FALSE))</f>
        <v>0</v>
      </c>
      <c r="CO101" s="1">
        <f t="shared" si="182"/>
        <v>0</v>
      </c>
      <c r="CP101" s="183">
        <v>0</v>
      </c>
      <c r="CQ101" s="1">
        <f t="shared" si="183"/>
        <v>0</v>
      </c>
      <c r="CR101" s="2">
        <f>IF(ISNA(VLOOKUP($CZ101,'Audit Values'!$A$2:$AE$439,2,FALSE)),'Preliminary SO66'!V98,VLOOKUP($CZ101,'Audit Values'!$A$2:$AE$439,22,FALSE))</f>
        <v>0</v>
      </c>
      <c r="CS101" s="1">
        <f t="shared" si="184"/>
        <v>0</v>
      </c>
      <c r="CT101" s="2">
        <f>IF(ISNA(VLOOKUP($CZ101,'Audit Values'!$A$2:$AE$439,2,FALSE)),'Preliminary SO66'!W98,VLOOKUP($CZ101,'Audit Values'!$A$2:$AE$439,23,FALSE))</f>
        <v>0</v>
      </c>
      <c r="CU101" s="1">
        <f t="shared" si="189"/>
        <v>0</v>
      </c>
      <c r="CV101" s="1">
        <f t="shared" si="190"/>
        <v>0</v>
      </c>
      <c r="CW101" s="176">
        <v>126600</v>
      </c>
      <c r="CX101" s="2">
        <f>IF(CW101&gt;0,Weightings!$M$11*AR101,0)</f>
        <v>150350</v>
      </c>
      <c r="CY101" s="2">
        <f t="shared" si="178"/>
        <v>126600</v>
      </c>
      <c r="CZ101" s="108" t="s">
        <v>393</v>
      </c>
    </row>
    <row r="102" spans="1:104">
      <c r="A102" s="82">
        <v>297</v>
      </c>
      <c r="B102" s="4" t="s">
        <v>8</v>
      </c>
      <c r="C102" s="4" t="s">
        <v>729</v>
      </c>
      <c r="D102" s="1">
        <v>286</v>
      </c>
      <c r="E102" s="1">
        <v>0</v>
      </c>
      <c r="F102" s="1">
        <f t="shared" si="187"/>
        <v>286</v>
      </c>
      <c r="G102" s="1">
        <v>283</v>
      </c>
      <c r="H102" s="1">
        <v>0</v>
      </c>
      <c r="I102" s="1">
        <f t="shared" si="142"/>
        <v>283</v>
      </c>
      <c r="J102" s="1">
        <f t="shared" si="143"/>
        <v>284</v>
      </c>
      <c r="K102" s="1">
        <f>IF(ISNA(VLOOKUP($CZ102,'Audit Values'!$A$2:$AE$439,2,FALSE)),'Preliminary SO66'!B99,VLOOKUP($CZ102,'Audit Values'!$A$2:$AE$439,31,FALSE))</f>
        <v>284</v>
      </c>
      <c r="L102" s="1">
        <f t="shared" si="144"/>
        <v>284.3</v>
      </c>
      <c r="M102" s="1">
        <f>IF(ISNA(VLOOKUP($CZ102,'Audit Values'!$A$2:$AE$439,2,FALSE)),'Preliminary SO66'!Z99,VLOOKUP($CZ102,'Audit Values'!$A$2:$AE$439,26,FALSE))</f>
        <v>0</v>
      </c>
      <c r="N102" s="1">
        <f t="shared" si="145"/>
        <v>284.3</v>
      </c>
      <c r="O102" s="1">
        <f>IF(ISNA(VLOOKUP($CZ102,'Audit Values'!$A$2:$AE$439,2,FALSE)),'Preliminary SO66'!C99,IF(VLOOKUP($CZ102,'Audit Values'!$A$2:$AE$439,28,FALSE)="",VLOOKUP($CZ102,'Audit Values'!$A$2:$AE$439,3,FALSE),VLOOKUP($CZ102,'Audit Values'!$A$2:$AE$439,28,FALSE)))</f>
        <v>0</v>
      </c>
      <c r="P102" s="109">
        <f t="shared" si="146"/>
        <v>284</v>
      </c>
      <c r="Q102" s="110">
        <f t="shared" si="147"/>
        <v>284</v>
      </c>
      <c r="R102" s="111">
        <f t="shared" si="148"/>
        <v>284</v>
      </c>
      <c r="S102" s="1">
        <f t="shared" si="149"/>
        <v>284.3</v>
      </c>
      <c r="T102" s="1">
        <f t="shared" si="185"/>
        <v>0</v>
      </c>
      <c r="U102" s="1">
        <f t="shared" si="150"/>
        <v>149.5</v>
      </c>
      <c r="V102" s="1">
        <f t="shared" si="179"/>
        <v>149.5</v>
      </c>
      <c r="W102" s="1">
        <f t="shared" si="180"/>
        <v>0</v>
      </c>
      <c r="X102" s="1">
        <f>IF(ISNA(VLOOKUP($CZ102,'Audit Values'!$A$2:$AE$439,2,FALSE)),'Preliminary SO66'!D99,VLOOKUP($CZ102,'Audit Values'!$A$2:$AE$439,4,FALSE))</f>
        <v>39.1</v>
      </c>
      <c r="Y102" s="1">
        <f>ROUND((X102/6)*Weightings!$M$6,1)</f>
        <v>3.3</v>
      </c>
      <c r="Z102" s="1">
        <f>IF(ISNA(VLOOKUP($CZ102,'Audit Values'!$A$2:$AE$439,2,FALSE)),'Preliminary SO66'!F99,VLOOKUP($CZ102,'Audit Values'!$A$2:$AE$439,6,FALSE))</f>
        <v>14.9</v>
      </c>
      <c r="AA102" s="1">
        <f>ROUND((Z102/6)*Weightings!$M$7,1)</f>
        <v>1</v>
      </c>
      <c r="AB102" s="2">
        <f>IF(ISNA(VLOOKUP($CZ102,'Audit Values'!$A$2:$AE$439,2,FALSE)),'Preliminary SO66'!H99,VLOOKUP($CZ102,'Audit Values'!$A$2:$AE$439,8,FALSE))</f>
        <v>109</v>
      </c>
      <c r="AC102" s="1">
        <f>ROUND(AB102*Weightings!$M$8,1)</f>
        <v>49.7</v>
      </c>
      <c r="AD102" s="1">
        <f t="shared" si="169"/>
        <v>2.5</v>
      </c>
      <c r="AE102" s="185">
        <v>16</v>
      </c>
      <c r="AF102" s="1">
        <f>AE102*Weightings!$M$9</f>
        <v>0.7</v>
      </c>
      <c r="AG102" s="1">
        <f>IF(ISNA(VLOOKUP($CZ102,'Audit Values'!$A$2:$AE$439,2,FALSE)),'Preliminary SO66'!L99,VLOOKUP($CZ102,'Audit Values'!$A$2:$AE$439,12,FALSE))</f>
        <v>0</v>
      </c>
      <c r="AH102" s="1">
        <f>ROUND(AG102*Weightings!$M$10,1)</f>
        <v>0</v>
      </c>
      <c r="AI102" s="1">
        <f>IF(ISNA(VLOOKUP($CZ102,'Audit Values'!$A$2:$AE$439,2,FALSE)),'Preliminary SO66'!O99,VLOOKUP($CZ102,'Audit Values'!$A$2:$AE$439,15,FALSE))</f>
        <v>51</v>
      </c>
      <c r="AJ102" s="1">
        <f t="shared" si="151"/>
        <v>23.7</v>
      </c>
      <c r="AK102" s="1">
        <f>CC102/Weightings!$M$5</f>
        <v>0</v>
      </c>
      <c r="AL102" s="1">
        <f>CD102/Weightings!$M$5</f>
        <v>0</v>
      </c>
      <c r="AM102" s="1">
        <f>CH102/Weightings!$M$5</f>
        <v>0</v>
      </c>
      <c r="AN102" s="1">
        <f t="shared" si="181"/>
        <v>0</v>
      </c>
      <c r="AO102" s="1">
        <f>IF(ISNA(VLOOKUP($CZ102,'Audit Values'!$A$2:$AE$439,2,FALSE)),'Preliminary SO66'!X99,VLOOKUP($CZ102,'Audit Values'!$A$2:$AE$439,24,FALSE))</f>
        <v>0</v>
      </c>
      <c r="AP102" s="188">
        <v>204212</v>
      </c>
      <c r="AQ102" s="113">
        <f>AP102/Weightings!$M$5</f>
        <v>53.2</v>
      </c>
      <c r="AR102" s="113">
        <f t="shared" si="152"/>
        <v>514.70000000000005</v>
      </c>
      <c r="AS102" s="1">
        <f t="shared" si="153"/>
        <v>567.9</v>
      </c>
      <c r="AT102" s="1">
        <f t="shared" si="154"/>
        <v>567.9</v>
      </c>
      <c r="AU102" s="2">
        <f t="shared" si="170"/>
        <v>0</v>
      </c>
      <c r="AV102" s="82">
        <f>IF(ISNA(VLOOKUP($CZ102,'Audit Values'!$A$2:$AC$360,2,FALSE)),"",IF(AND(Weightings!H102&gt;0,VLOOKUP($CZ102,'Audit Values'!$A$2:$AC$360,29,FALSE)&lt;Weightings!H102),Weightings!H102,VLOOKUP($CZ102,'Audit Values'!$A$2:$AC$360,29,FALSE)))</f>
        <v>1</v>
      </c>
      <c r="AW102" s="82" t="str">
        <f>IF(ISNA(VLOOKUP($CZ102,'Audit Values'!$A$2:$AD$360,2,FALSE)),"",VLOOKUP($CZ102,'Audit Values'!$A$2:$AD$360,30,FALSE))</f>
        <v>A</v>
      </c>
      <c r="AX102" s="82" t="str">
        <f>IF(Weightings!G102="","",IF(Weightings!I102="Pending","PX","R"))</f>
        <v/>
      </c>
      <c r="AY102" s="114">
        <f>AR102*Weightings!$M$5+AU102</f>
        <v>1975419</v>
      </c>
      <c r="AZ102" s="2">
        <f>AT102*Weightings!$M$5+AU102</f>
        <v>2179600</v>
      </c>
      <c r="BA102" s="2">
        <f>IF(Weightings!G102&gt;0,Weightings!G102,'Preliminary SO66'!AB99)</f>
        <v>2295124</v>
      </c>
      <c r="BB102" s="2">
        <f t="shared" si="155"/>
        <v>2179600</v>
      </c>
      <c r="BC102" s="124"/>
      <c r="BD102" s="124">
        <f>Weightings!E102</f>
        <v>0</v>
      </c>
      <c r="BE102" s="124">
        <f>Weightings!F102</f>
        <v>0</v>
      </c>
      <c r="BF102" s="2">
        <f t="shared" si="156"/>
        <v>0</v>
      </c>
      <c r="BG102" s="2">
        <f t="shared" si="157"/>
        <v>2179600</v>
      </c>
      <c r="BH102" s="2">
        <f>MAX(ROUND(((AR102-AO102)*4433)+AP102,0),ROUND(((AR102-AO102)*4433)+Weightings!B102,0))</f>
        <v>2492687</v>
      </c>
      <c r="BI102" s="174">
        <v>0.3</v>
      </c>
      <c r="BJ102" s="2">
        <f t="shared" si="188"/>
        <v>747806</v>
      </c>
      <c r="BK102" s="173">
        <v>783393</v>
      </c>
      <c r="BL102" s="2">
        <f t="shared" si="158"/>
        <v>747806</v>
      </c>
      <c r="BM102" s="3">
        <f t="shared" si="171"/>
        <v>0.3</v>
      </c>
      <c r="BN102" s="1">
        <f t="shared" si="159"/>
        <v>0</v>
      </c>
      <c r="BO102" s="4" t="b">
        <f t="shared" si="160"/>
        <v>1</v>
      </c>
      <c r="BP102" s="5">
        <f t="shared" si="161"/>
        <v>1779.4169999999999</v>
      </c>
      <c r="BQ102" s="6">
        <f t="shared" si="140"/>
        <v>0.52580199999999999</v>
      </c>
      <c r="BR102" s="4">
        <f t="shared" si="162"/>
        <v>149.5</v>
      </c>
      <c r="BS102" s="4" t="b">
        <f t="shared" si="163"/>
        <v>0</v>
      </c>
      <c r="BT102" s="4">
        <f t="shared" si="164"/>
        <v>0</v>
      </c>
      <c r="BU102" s="6">
        <f t="shared" si="141"/>
        <v>0</v>
      </c>
      <c r="BV102" s="1">
        <f t="shared" si="165"/>
        <v>0</v>
      </c>
      <c r="BW102" s="1">
        <f t="shared" si="166"/>
        <v>0</v>
      </c>
      <c r="BX102" s="116">
        <v>640</v>
      </c>
      <c r="BY102" s="7">
        <f t="shared" si="172"/>
        <v>0.08</v>
      </c>
      <c r="BZ102" s="7">
        <f>IF(ROUND((Weightings!$P$5*BY102^Weightings!$P$6*Weightings!$P$8 ),2)&lt;Weightings!$P$7,Weightings!$P$7,ROUND((Weightings!$P$5*BY102^Weightings!$P$6*Weightings!$P$8 ),2))</f>
        <v>1783.12</v>
      </c>
      <c r="CA102" s="8">
        <f>ROUND(BZ102/Weightings!$M$5,4)</f>
        <v>0.46460000000000001</v>
      </c>
      <c r="CB102" s="1">
        <f t="shared" si="173"/>
        <v>23.7</v>
      </c>
      <c r="CC102" s="173">
        <v>0</v>
      </c>
      <c r="CD102" s="173">
        <v>0</v>
      </c>
      <c r="CE102" s="173">
        <v>0</v>
      </c>
      <c r="CF102" s="177">
        <v>0</v>
      </c>
      <c r="CG102" s="2">
        <f>AS102*Weightings!$M$5*CF102</f>
        <v>0</v>
      </c>
      <c r="CH102" s="2">
        <f t="shared" si="174"/>
        <v>0</v>
      </c>
      <c r="CI102" s="117">
        <f t="shared" si="167"/>
        <v>0.38300000000000001</v>
      </c>
      <c r="CJ102" s="4">
        <f t="shared" si="168"/>
        <v>0.4</v>
      </c>
      <c r="CK102" s="1">
        <f t="shared" si="175"/>
        <v>0</v>
      </c>
      <c r="CL102" s="1">
        <f t="shared" si="176"/>
        <v>0</v>
      </c>
      <c r="CM102" s="1">
        <f t="shared" si="177"/>
        <v>2.5</v>
      </c>
      <c r="CN102" s="1">
        <f>IF(ISNA(VLOOKUP($CZ102,'Audit Values'!$A$2:$AE$439,2,FALSE)),'Preliminary SO66'!T99,VLOOKUP($CZ102,'Audit Values'!$A$2:$AE$439,20,FALSE))</f>
        <v>0</v>
      </c>
      <c r="CO102" s="1">
        <f t="shared" si="182"/>
        <v>0</v>
      </c>
      <c r="CP102" s="183">
        <v>0</v>
      </c>
      <c r="CQ102" s="1">
        <f t="shared" si="183"/>
        <v>0</v>
      </c>
      <c r="CR102" s="2">
        <f>IF(ISNA(VLOOKUP($CZ102,'Audit Values'!$A$2:$AE$439,2,FALSE)),'Preliminary SO66'!V99,VLOOKUP($CZ102,'Audit Values'!$A$2:$AE$439,22,FALSE))</f>
        <v>0</v>
      </c>
      <c r="CS102" s="1">
        <f t="shared" si="184"/>
        <v>0</v>
      </c>
      <c r="CT102" s="2">
        <f>IF(ISNA(VLOOKUP($CZ102,'Audit Values'!$A$2:$AE$439,2,FALSE)),'Preliminary SO66'!W99,VLOOKUP($CZ102,'Audit Values'!$A$2:$AE$439,23,FALSE))</f>
        <v>0</v>
      </c>
      <c r="CU102" s="1">
        <f t="shared" si="189"/>
        <v>0</v>
      </c>
      <c r="CV102" s="1">
        <f t="shared" si="190"/>
        <v>0</v>
      </c>
      <c r="CW102" s="176">
        <v>0</v>
      </c>
      <c r="CX102" s="2">
        <f>IF(CW102&gt;0,Weightings!$M$11*AR102,0)</f>
        <v>0</v>
      </c>
      <c r="CY102" s="2">
        <f t="shared" si="178"/>
        <v>0</v>
      </c>
      <c r="CZ102" s="108" t="s">
        <v>394</v>
      </c>
    </row>
    <row r="103" spans="1:104">
      <c r="A103" s="82">
        <v>298</v>
      </c>
      <c r="B103" s="4" t="s">
        <v>47</v>
      </c>
      <c r="C103" s="4" t="s">
        <v>730</v>
      </c>
      <c r="D103" s="1">
        <v>339</v>
      </c>
      <c r="E103" s="1">
        <v>0</v>
      </c>
      <c r="F103" s="1">
        <f t="shared" si="187"/>
        <v>339</v>
      </c>
      <c r="G103" s="1">
        <v>336.8</v>
      </c>
      <c r="H103" s="1">
        <v>0</v>
      </c>
      <c r="I103" s="1">
        <f t="shared" si="142"/>
        <v>336.8</v>
      </c>
      <c r="J103" s="1">
        <f t="shared" si="143"/>
        <v>340.5</v>
      </c>
      <c r="K103" s="1">
        <f>IF(ISNA(VLOOKUP($CZ103,'Audit Values'!$A$2:$AE$439,2,FALSE)),'Preliminary SO66'!B100,VLOOKUP($CZ103,'Audit Values'!$A$2:$AE$439,31,FALSE))</f>
        <v>340.5</v>
      </c>
      <c r="L103" s="1">
        <f t="shared" si="144"/>
        <v>340.5</v>
      </c>
      <c r="M103" s="1">
        <f>IF(ISNA(VLOOKUP($CZ103,'Audit Values'!$A$2:$AE$439,2,FALSE)),'Preliminary SO66'!Z100,VLOOKUP($CZ103,'Audit Values'!$A$2:$AE$439,26,FALSE))</f>
        <v>0</v>
      </c>
      <c r="N103" s="1">
        <f t="shared" si="145"/>
        <v>340.5</v>
      </c>
      <c r="O103" s="1">
        <f>IF(ISNA(VLOOKUP($CZ103,'Audit Values'!$A$2:$AE$439,2,FALSE)),'Preliminary SO66'!C100,IF(VLOOKUP($CZ103,'Audit Values'!$A$2:$AE$439,28,FALSE)="",VLOOKUP($CZ103,'Audit Values'!$A$2:$AE$439,3,FALSE),VLOOKUP($CZ103,'Audit Values'!$A$2:$AE$439,28,FALSE)))</f>
        <v>6.5</v>
      </c>
      <c r="P103" s="109">
        <f t="shared" si="146"/>
        <v>347</v>
      </c>
      <c r="Q103" s="110">
        <f t="shared" si="147"/>
        <v>347</v>
      </c>
      <c r="R103" s="111">
        <f t="shared" si="148"/>
        <v>347</v>
      </c>
      <c r="S103" s="1">
        <f t="shared" si="149"/>
        <v>347</v>
      </c>
      <c r="T103" s="1">
        <f t="shared" si="185"/>
        <v>0</v>
      </c>
      <c r="U103" s="1">
        <f t="shared" si="150"/>
        <v>162.5</v>
      </c>
      <c r="V103" s="1">
        <f t="shared" si="179"/>
        <v>162.5</v>
      </c>
      <c r="W103" s="1">
        <f t="shared" si="180"/>
        <v>0</v>
      </c>
      <c r="X103" s="1">
        <f>IF(ISNA(VLOOKUP($CZ103,'Audit Values'!$A$2:$AE$439,2,FALSE)),'Preliminary SO66'!D100,VLOOKUP($CZ103,'Audit Values'!$A$2:$AE$439,4,FALSE))</f>
        <v>50.8</v>
      </c>
      <c r="Y103" s="1">
        <f>ROUND((X103/6)*Weightings!$M$6,1)</f>
        <v>4.2</v>
      </c>
      <c r="Z103" s="1">
        <f>IF(ISNA(VLOOKUP($CZ103,'Audit Values'!$A$2:$AE$439,2,FALSE)),'Preliminary SO66'!F100,VLOOKUP($CZ103,'Audit Values'!$A$2:$AE$439,6,FALSE))</f>
        <v>7.3</v>
      </c>
      <c r="AA103" s="1">
        <f>ROUND((Z103/6)*Weightings!$M$7,1)</f>
        <v>0.5</v>
      </c>
      <c r="AB103" s="2">
        <f>IF(ISNA(VLOOKUP($CZ103,'Audit Values'!$A$2:$AE$439,2,FALSE)),'Preliminary SO66'!H100,VLOOKUP($CZ103,'Audit Values'!$A$2:$AE$439,8,FALSE))</f>
        <v>149</v>
      </c>
      <c r="AC103" s="1">
        <f>ROUND(AB103*Weightings!$M$8,1)</f>
        <v>67.900000000000006</v>
      </c>
      <c r="AD103" s="1">
        <f t="shared" si="169"/>
        <v>8.1999999999999993</v>
      </c>
      <c r="AE103" s="185">
        <v>23</v>
      </c>
      <c r="AF103" s="1">
        <f>AE103*Weightings!$M$9</f>
        <v>1.1000000000000001</v>
      </c>
      <c r="AG103" s="1">
        <f>IF(ISNA(VLOOKUP($CZ103,'Audit Values'!$A$2:$AE$439,2,FALSE)),'Preliminary SO66'!L100,VLOOKUP($CZ103,'Audit Values'!$A$2:$AE$439,12,FALSE))</f>
        <v>0</v>
      </c>
      <c r="AH103" s="1">
        <f>ROUND(AG103*Weightings!$M$10,1)</f>
        <v>0</v>
      </c>
      <c r="AI103" s="1">
        <f>IF(ISNA(VLOOKUP($CZ103,'Audit Values'!$A$2:$AE$439,2,FALSE)),'Preliminary SO66'!O100,VLOOKUP($CZ103,'Audit Values'!$A$2:$AE$439,15,FALSE))</f>
        <v>117.5</v>
      </c>
      <c r="AJ103" s="1">
        <f t="shared" si="151"/>
        <v>41.7</v>
      </c>
      <c r="AK103" s="1">
        <f>CC103/Weightings!$M$5</f>
        <v>0</v>
      </c>
      <c r="AL103" s="1">
        <f>CD103/Weightings!$M$5</f>
        <v>0</v>
      </c>
      <c r="AM103" s="1">
        <f>CH103/Weightings!$M$5</f>
        <v>0</v>
      </c>
      <c r="AN103" s="1">
        <f t="shared" si="181"/>
        <v>0</v>
      </c>
      <c r="AO103" s="1">
        <f>IF(ISNA(VLOOKUP($CZ103,'Audit Values'!$A$2:$AE$439,2,FALSE)),'Preliminary SO66'!X100,VLOOKUP($CZ103,'Audit Values'!$A$2:$AE$439,24,FALSE))</f>
        <v>0</v>
      </c>
      <c r="AP103" s="188">
        <v>419309</v>
      </c>
      <c r="AQ103" s="113">
        <f>AP103/Weightings!$M$5</f>
        <v>109.3</v>
      </c>
      <c r="AR103" s="113">
        <f t="shared" si="152"/>
        <v>633.1</v>
      </c>
      <c r="AS103" s="1">
        <f t="shared" si="153"/>
        <v>742.4</v>
      </c>
      <c r="AT103" s="1">
        <f t="shared" si="154"/>
        <v>742.4</v>
      </c>
      <c r="AU103" s="2">
        <f t="shared" si="170"/>
        <v>0</v>
      </c>
      <c r="AV103" s="82">
        <f>IF(ISNA(VLOOKUP($CZ103,'Audit Values'!$A$2:$AC$360,2,FALSE)),"",IF(AND(Weightings!H103&gt;0,VLOOKUP($CZ103,'Audit Values'!$A$2:$AC$360,29,FALSE)&lt;Weightings!H103),Weightings!H103,VLOOKUP($CZ103,'Audit Values'!$A$2:$AC$360,29,FALSE)))</f>
        <v>15</v>
      </c>
      <c r="AW103" s="82" t="str">
        <f>IF(ISNA(VLOOKUP($CZ103,'Audit Values'!$A$2:$AD$360,2,FALSE)),"",VLOOKUP($CZ103,'Audit Values'!$A$2:$AD$360,30,FALSE))</f>
        <v>A</v>
      </c>
      <c r="AX103" s="82" t="str">
        <f>IF(Weightings!G103="","",IF(Weightings!I103="Pending","PX","R"))</f>
        <v/>
      </c>
      <c r="AY103" s="114">
        <f>AR103*Weightings!$M$5+AU103</f>
        <v>2429838</v>
      </c>
      <c r="AZ103" s="2">
        <f>AT103*Weightings!$M$5+AU103</f>
        <v>2849331</v>
      </c>
      <c r="BA103" s="2">
        <f>IF(Weightings!G103&gt;0,Weightings!G103,'Preliminary SO66'!AB100)</f>
        <v>2955644</v>
      </c>
      <c r="BB103" s="2">
        <f t="shared" si="155"/>
        <v>2849331</v>
      </c>
      <c r="BC103" s="124"/>
      <c r="BD103" s="124">
        <f>Weightings!E103</f>
        <v>0</v>
      </c>
      <c r="BE103" s="124">
        <f>Weightings!F103</f>
        <v>0</v>
      </c>
      <c r="BF103" s="2">
        <f t="shared" si="156"/>
        <v>0</v>
      </c>
      <c r="BG103" s="2">
        <f t="shared" si="157"/>
        <v>2849331</v>
      </c>
      <c r="BH103" s="2">
        <f>MAX(ROUND(((AR103-AO103)*4433)+AP103,0),ROUND(((AR103-AO103)*4433)+Weightings!B103,0))</f>
        <v>3225841</v>
      </c>
      <c r="BI103" s="174">
        <v>0.3</v>
      </c>
      <c r="BJ103" s="2">
        <f t="shared" si="188"/>
        <v>967752</v>
      </c>
      <c r="BK103" s="173">
        <v>999071</v>
      </c>
      <c r="BL103" s="2">
        <f t="shared" si="158"/>
        <v>967752</v>
      </c>
      <c r="BM103" s="3">
        <f t="shared" si="171"/>
        <v>0.3</v>
      </c>
      <c r="BN103" s="1">
        <f t="shared" si="159"/>
        <v>0</v>
      </c>
      <c r="BO103" s="4" t="b">
        <f t="shared" si="160"/>
        <v>0</v>
      </c>
      <c r="BP103" s="5">
        <f t="shared" si="161"/>
        <v>0</v>
      </c>
      <c r="BQ103" s="6">
        <f t="shared" si="140"/>
        <v>0</v>
      </c>
      <c r="BR103" s="4">
        <f t="shared" si="162"/>
        <v>0</v>
      </c>
      <c r="BS103" s="4" t="b">
        <f t="shared" si="163"/>
        <v>1</v>
      </c>
      <c r="BT103" s="4">
        <f t="shared" si="164"/>
        <v>58.162500000000001</v>
      </c>
      <c r="BU103" s="6">
        <f t="shared" si="141"/>
        <v>0.46821800000000002</v>
      </c>
      <c r="BV103" s="1">
        <f t="shared" si="165"/>
        <v>162.5</v>
      </c>
      <c r="BW103" s="1">
        <f t="shared" si="166"/>
        <v>0</v>
      </c>
      <c r="BX103" s="116">
        <v>444</v>
      </c>
      <c r="BY103" s="7">
        <f t="shared" si="172"/>
        <v>0.26</v>
      </c>
      <c r="BZ103" s="7">
        <f>IF(ROUND((Weightings!$P$5*BY103^Weightings!$P$6*Weightings!$P$8 ),2)&lt;Weightings!$P$7,Weightings!$P$7,ROUND((Weightings!$P$5*BY103^Weightings!$P$6*Weightings!$P$8 ),2))</f>
        <v>1362.76</v>
      </c>
      <c r="CA103" s="8">
        <f>ROUND(BZ103/Weightings!$M$5,4)</f>
        <v>0.35510000000000003</v>
      </c>
      <c r="CB103" s="1">
        <f t="shared" si="173"/>
        <v>41.7</v>
      </c>
      <c r="CC103" s="173">
        <v>0</v>
      </c>
      <c r="CD103" s="173">
        <v>0</v>
      </c>
      <c r="CE103" s="173">
        <v>0</v>
      </c>
      <c r="CF103" s="177">
        <v>0</v>
      </c>
      <c r="CG103" s="2">
        <f>AS103*Weightings!$M$5*CF103</f>
        <v>0</v>
      </c>
      <c r="CH103" s="2">
        <f t="shared" si="174"/>
        <v>0</v>
      </c>
      <c r="CI103" s="117">
        <f t="shared" si="167"/>
        <v>0.42899999999999999</v>
      </c>
      <c r="CJ103" s="4">
        <f t="shared" si="168"/>
        <v>0.8</v>
      </c>
      <c r="CK103" s="1">
        <f t="shared" si="175"/>
        <v>0</v>
      </c>
      <c r="CL103" s="1">
        <f t="shared" si="176"/>
        <v>0</v>
      </c>
      <c r="CM103" s="1">
        <f t="shared" si="177"/>
        <v>8.1999999999999993</v>
      </c>
      <c r="CN103" s="1">
        <f>IF(ISNA(VLOOKUP($CZ103,'Audit Values'!$A$2:$AE$439,2,FALSE)),'Preliminary SO66'!T100,VLOOKUP($CZ103,'Audit Values'!$A$2:$AE$439,20,FALSE))</f>
        <v>0</v>
      </c>
      <c r="CO103" s="1">
        <f t="shared" si="182"/>
        <v>0</v>
      </c>
      <c r="CP103" s="183">
        <v>0</v>
      </c>
      <c r="CQ103" s="1">
        <f t="shared" si="183"/>
        <v>0</v>
      </c>
      <c r="CR103" s="2">
        <f>IF(ISNA(VLOOKUP($CZ103,'Audit Values'!$A$2:$AE$439,2,FALSE)),'Preliminary SO66'!V100,VLOOKUP($CZ103,'Audit Values'!$A$2:$AE$439,22,FALSE))</f>
        <v>0</v>
      </c>
      <c r="CS103" s="1">
        <f t="shared" si="184"/>
        <v>0</v>
      </c>
      <c r="CT103" s="2">
        <f>IF(ISNA(VLOOKUP($CZ103,'Audit Values'!$A$2:$AE$439,2,FALSE)),'Preliminary SO66'!W100,VLOOKUP($CZ103,'Audit Values'!$A$2:$AE$439,23,FALSE))</f>
        <v>0</v>
      </c>
      <c r="CU103" s="1">
        <f t="shared" si="189"/>
        <v>0</v>
      </c>
      <c r="CV103" s="1">
        <f t="shared" si="190"/>
        <v>0</v>
      </c>
      <c r="CW103" s="176">
        <v>0</v>
      </c>
      <c r="CX103" s="2">
        <f>IF(CW103&gt;0,Weightings!$M$11*AR103,0)</f>
        <v>0</v>
      </c>
      <c r="CY103" s="2">
        <f t="shared" si="178"/>
        <v>0</v>
      </c>
      <c r="CZ103" s="108" t="s">
        <v>395</v>
      </c>
    </row>
    <row r="104" spans="1:104">
      <c r="A104" s="82">
        <v>299</v>
      </c>
      <c r="B104" s="4" t="s">
        <v>47</v>
      </c>
      <c r="C104" s="4" t="s">
        <v>731</v>
      </c>
      <c r="D104" s="1">
        <v>220</v>
      </c>
      <c r="E104" s="1">
        <v>0</v>
      </c>
      <c r="F104" s="1">
        <f t="shared" si="187"/>
        <v>220</v>
      </c>
      <c r="G104" s="1">
        <v>219.5</v>
      </c>
      <c r="H104" s="1">
        <v>0</v>
      </c>
      <c r="I104" s="1">
        <f t="shared" si="142"/>
        <v>219.5</v>
      </c>
      <c r="J104" s="1">
        <f t="shared" si="143"/>
        <v>227.5</v>
      </c>
      <c r="K104" s="1">
        <f>IF(ISNA(VLOOKUP($CZ104,'Audit Values'!$A$2:$AE$439,2,FALSE)),'Preliminary SO66'!B101,VLOOKUP($CZ104,'Audit Values'!$A$2:$AE$439,31,FALSE))</f>
        <v>212.7</v>
      </c>
      <c r="L104" s="1">
        <f t="shared" si="144"/>
        <v>219.5</v>
      </c>
      <c r="M104" s="1">
        <f>IF(ISNA(VLOOKUP($CZ104,'Audit Values'!$A$2:$AE$439,2,FALSE)),'Preliminary SO66'!Z101,VLOOKUP($CZ104,'Audit Values'!$A$2:$AE$439,26,FALSE))</f>
        <v>0</v>
      </c>
      <c r="N104" s="1">
        <f t="shared" si="145"/>
        <v>219.5</v>
      </c>
      <c r="O104" s="1">
        <f>IF(ISNA(VLOOKUP($CZ104,'Audit Values'!$A$2:$AE$439,2,FALSE)),'Preliminary SO66'!C101,IF(VLOOKUP($CZ104,'Audit Values'!$A$2:$AE$439,28,FALSE)="",VLOOKUP($CZ104,'Audit Values'!$A$2:$AE$439,3,FALSE),VLOOKUP($CZ104,'Audit Values'!$A$2:$AE$439,28,FALSE)))</f>
        <v>3</v>
      </c>
      <c r="P104" s="109">
        <f t="shared" si="146"/>
        <v>215.7</v>
      </c>
      <c r="Q104" s="110">
        <f t="shared" si="147"/>
        <v>230.5</v>
      </c>
      <c r="R104" s="111">
        <f t="shared" si="148"/>
        <v>230.5</v>
      </c>
      <c r="S104" s="1">
        <f t="shared" si="149"/>
        <v>222.5</v>
      </c>
      <c r="T104" s="1">
        <f t="shared" si="185"/>
        <v>14.8</v>
      </c>
      <c r="U104" s="1">
        <f t="shared" si="150"/>
        <v>153.4</v>
      </c>
      <c r="V104" s="1">
        <f t="shared" si="179"/>
        <v>153.4</v>
      </c>
      <c r="W104" s="1">
        <f t="shared" si="180"/>
        <v>0</v>
      </c>
      <c r="X104" s="1">
        <f>IF(ISNA(VLOOKUP($CZ104,'Audit Values'!$A$2:$AE$439,2,FALSE)),'Preliminary SO66'!D101,VLOOKUP($CZ104,'Audit Values'!$A$2:$AE$439,4,FALSE))</f>
        <v>26.1</v>
      </c>
      <c r="Y104" s="1">
        <f>ROUND((X104/6)*Weightings!$M$6,1)</f>
        <v>2.2000000000000002</v>
      </c>
      <c r="Z104" s="1">
        <f>IF(ISNA(VLOOKUP($CZ104,'Audit Values'!$A$2:$AE$439,2,FALSE)),'Preliminary SO66'!F101,VLOOKUP($CZ104,'Audit Values'!$A$2:$AE$439,6,FALSE))</f>
        <v>0</v>
      </c>
      <c r="AA104" s="1">
        <f>ROUND((Z104/6)*Weightings!$M$7,1)</f>
        <v>0</v>
      </c>
      <c r="AB104" s="2">
        <f>IF(ISNA(VLOOKUP($CZ104,'Audit Values'!$A$2:$AE$439,2,FALSE)),'Preliminary SO66'!H101,VLOOKUP($CZ104,'Audit Values'!$A$2:$AE$439,8,FALSE))</f>
        <v>80</v>
      </c>
      <c r="AC104" s="1">
        <f>ROUND(AB104*Weightings!$M$8,1)</f>
        <v>36.5</v>
      </c>
      <c r="AD104" s="1">
        <f t="shared" si="169"/>
        <v>0.6</v>
      </c>
      <c r="AE104" s="185">
        <v>13</v>
      </c>
      <c r="AF104" s="1">
        <f>AE104*Weightings!$M$9</f>
        <v>0.6</v>
      </c>
      <c r="AG104" s="1">
        <f>IF(ISNA(VLOOKUP($CZ104,'Audit Values'!$A$2:$AE$439,2,FALSE)),'Preliminary SO66'!L101,VLOOKUP($CZ104,'Audit Values'!$A$2:$AE$439,12,FALSE))</f>
        <v>0</v>
      </c>
      <c r="AH104" s="1">
        <f>ROUND(AG104*Weightings!$M$10,1)</f>
        <v>0</v>
      </c>
      <c r="AI104" s="1">
        <f>IF(ISNA(VLOOKUP($CZ104,'Audit Values'!$A$2:$AE$439,2,FALSE)),'Preliminary SO66'!O101,VLOOKUP($CZ104,'Audit Values'!$A$2:$AE$439,15,FALSE))</f>
        <v>145</v>
      </c>
      <c r="AJ104" s="1">
        <f t="shared" si="151"/>
        <v>52.9</v>
      </c>
      <c r="AK104" s="1">
        <f>CC104/Weightings!$M$5</f>
        <v>0</v>
      </c>
      <c r="AL104" s="1">
        <f>CD104/Weightings!$M$5</f>
        <v>0</v>
      </c>
      <c r="AM104" s="1">
        <f>CH104/Weightings!$M$5</f>
        <v>0</v>
      </c>
      <c r="AN104" s="1">
        <f t="shared" si="181"/>
        <v>16.8</v>
      </c>
      <c r="AO104" s="1">
        <f>IF(ISNA(VLOOKUP($CZ104,'Audit Values'!$A$2:$AE$439,2,FALSE)),'Preliminary SO66'!X101,VLOOKUP($CZ104,'Audit Values'!$A$2:$AE$439,24,FALSE))</f>
        <v>0</v>
      </c>
      <c r="AP104" s="188">
        <v>235857.00000000003</v>
      </c>
      <c r="AQ104" s="113">
        <f>AP104/Weightings!$M$5</f>
        <v>61.5</v>
      </c>
      <c r="AR104" s="113">
        <f t="shared" si="152"/>
        <v>485.5</v>
      </c>
      <c r="AS104" s="1">
        <f t="shared" si="153"/>
        <v>547</v>
      </c>
      <c r="AT104" s="1">
        <f t="shared" si="154"/>
        <v>547</v>
      </c>
      <c r="AU104" s="2">
        <f t="shared" si="170"/>
        <v>0</v>
      </c>
      <c r="AV104" s="82">
        <f>IF(ISNA(VLOOKUP($CZ104,'Audit Values'!$A$2:$AC$360,2,FALSE)),"",IF(AND(Weightings!H104&gt;0,VLOOKUP($CZ104,'Audit Values'!$A$2:$AC$360,29,FALSE)&lt;Weightings!H104),Weightings!H104,VLOOKUP($CZ104,'Audit Values'!$A$2:$AC$360,29,FALSE)))</f>
        <v>19</v>
      </c>
      <c r="AW104" s="82" t="str">
        <f>IF(ISNA(VLOOKUP($CZ104,'Audit Values'!$A$2:$AD$360,2,FALSE)),"",VLOOKUP($CZ104,'Audit Values'!$A$2:$AD$360,30,FALSE))</f>
        <v>A</v>
      </c>
      <c r="AX104" s="82" t="str">
        <f>IF(Weightings!G104="","",IF(Weightings!I104="Pending","PX","R"))</f>
        <v/>
      </c>
      <c r="AY104" s="114">
        <f>AR104*Weightings!$M$5+AU104</f>
        <v>1863349</v>
      </c>
      <c r="AZ104" s="2">
        <f>AT104*Weightings!$M$5+AU104</f>
        <v>2099386</v>
      </c>
      <c r="BA104" s="2">
        <f>IF(Weightings!G104&gt;0,Weightings!G104,'Preliminary SO66'!AB101)</f>
        <v>2160410</v>
      </c>
      <c r="BB104" s="2">
        <f t="shared" si="155"/>
        <v>2099386</v>
      </c>
      <c r="BC104" s="124"/>
      <c r="BD104" s="124">
        <f>Weightings!E104</f>
        <v>-1207</v>
      </c>
      <c r="BE104" s="124">
        <f>Weightings!F104</f>
        <v>0</v>
      </c>
      <c r="BF104" s="2">
        <f t="shared" si="156"/>
        <v>-1207</v>
      </c>
      <c r="BG104" s="2">
        <f t="shared" si="157"/>
        <v>2098179</v>
      </c>
      <c r="BH104" s="2">
        <f>MAX(ROUND(((AR104-AO104)*4433)+AP104,0),ROUND(((AR104-AO104)*4433)+Weightings!B104,0))</f>
        <v>2388079</v>
      </c>
      <c r="BI104" s="174">
        <v>0.3</v>
      </c>
      <c r="BJ104" s="2">
        <f t="shared" si="188"/>
        <v>716424</v>
      </c>
      <c r="BK104" s="173">
        <v>550000</v>
      </c>
      <c r="BL104" s="2">
        <f t="shared" si="158"/>
        <v>550000</v>
      </c>
      <c r="BM104" s="3">
        <f t="shared" si="171"/>
        <v>0.2303</v>
      </c>
      <c r="BN104" s="1">
        <f t="shared" si="159"/>
        <v>0</v>
      </c>
      <c r="BO104" s="4" t="b">
        <f t="shared" si="160"/>
        <v>1</v>
      </c>
      <c r="BP104" s="5">
        <f t="shared" si="161"/>
        <v>1182.7380000000001</v>
      </c>
      <c r="BQ104" s="6">
        <f t="shared" si="140"/>
        <v>0.68961700000000004</v>
      </c>
      <c r="BR104" s="4">
        <f t="shared" si="162"/>
        <v>153.4</v>
      </c>
      <c r="BS104" s="4" t="b">
        <f t="shared" si="163"/>
        <v>0</v>
      </c>
      <c r="BT104" s="4">
        <f t="shared" si="164"/>
        <v>0</v>
      </c>
      <c r="BU104" s="6">
        <f t="shared" si="141"/>
        <v>0</v>
      </c>
      <c r="BV104" s="1">
        <f t="shared" si="165"/>
        <v>0</v>
      </c>
      <c r="BW104" s="1">
        <f t="shared" si="166"/>
        <v>0</v>
      </c>
      <c r="BX104" s="116">
        <v>623</v>
      </c>
      <c r="BY104" s="7">
        <f t="shared" si="172"/>
        <v>0.23</v>
      </c>
      <c r="BZ104" s="7">
        <f>IF(ROUND((Weightings!$P$5*BY104^Weightings!$P$6*Weightings!$P$8 ),2)&lt;Weightings!$P$7,Weightings!$P$7,ROUND((Weightings!$P$5*BY104^Weightings!$P$6*Weightings!$P$8 ),2))</f>
        <v>1401.41</v>
      </c>
      <c r="CA104" s="8">
        <f>ROUND(BZ104/Weightings!$M$5,4)</f>
        <v>0.36509999999999998</v>
      </c>
      <c r="CB104" s="1">
        <f t="shared" si="173"/>
        <v>52.9</v>
      </c>
      <c r="CC104" s="173">
        <v>0</v>
      </c>
      <c r="CD104" s="173">
        <v>0</v>
      </c>
      <c r="CE104" s="173">
        <v>0</v>
      </c>
      <c r="CF104" s="177">
        <v>0</v>
      </c>
      <c r="CG104" s="2">
        <f>AS104*Weightings!$M$5*CF104</f>
        <v>0</v>
      </c>
      <c r="CH104" s="2">
        <f t="shared" si="174"/>
        <v>0</v>
      </c>
      <c r="CI104" s="117">
        <f t="shared" si="167"/>
        <v>0.36</v>
      </c>
      <c r="CJ104" s="4">
        <f t="shared" si="168"/>
        <v>0.4</v>
      </c>
      <c r="CK104" s="1">
        <f t="shared" si="175"/>
        <v>0</v>
      </c>
      <c r="CL104" s="1">
        <f t="shared" si="176"/>
        <v>0</v>
      </c>
      <c r="CM104" s="1">
        <f t="shared" si="177"/>
        <v>0.6</v>
      </c>
      <c r="CN104" s="1">
        <f>IF(ISNA(VLOOKUP($CZ104,'Audit Values'!$A$2:$AE$439,2,FALSE)),'Preliminary SO66'!T101,VLOOKUP($CZ104,'Audit Values'!$A$2:$AE$439,20,FALSE))</f>
        <v>14.8</v>
      </c>
      <c r="CO104" s="1">
        <f t="shared" si="182"/>
        <v>15.5</v>
      </c>
      <c r="CP104" s="181">
        <v>5</v>
      </c>
      <c r="CQ104" s="1">
        <f t="shared" si="183"/>
        <v>1.3</v>
      </c>
      <c r="CR104" s="2">
        <f>IF(ISNA(VLOOKUP($CZ104,'Audit Values'!$A$2:$AE$439,2,FALSE)),'Preliminary SO66'!V101,VLOOKUP($CZ104,'Audit Values'!$A$2:$AE$439,22,FALSE))</f>
        <v>0</v>
      </c>
      <c r="CS104" s="1">
        <f t="shared" si="184"/>
        <v>0</v>
      </c>
      <c r="CT104" s="2">
        <f>IF(ISNA(VLOOKUP($CZ104,'Audit Values'!$A$2:$AE$439,2,FALSE)),'Preliminary SO66'!W101,VLOOKUP($CZ104,'Audit Values'!$A$2:$AE$439,23,FALSE))</f>
        <v>0</v>
      </c>
      <c r="CU104" s="1">
        <f t="shared" si="189"/>
        <v>0</v>
      </c>
      <c r="CV104" s="1">
        <f t="shared" si="190"/>
        <v>16.8</v>
      </c>
      <c r="CW104" s="176">
        <v>0</v>
      </c>
      <c r="CX104" s="2">
        <f>IF(CW104&gt;0,Weightings!$M$11*AR104,0)</f>
        <v>0</v>
      </c>
      <c r="CY104" s="2">
        <f t="shared" si="178"/>
        <v>0</v>
      </c>
      <c r="CZ104" s="108" t="s">
        <v>396</v>
      </c>
    </row>
    <row r="105" spans="1:104">
      <c r="A105" s="82">
        <v>300</v>
      </c>
      <c r="B105" s="4" t="s">
        <v>48</v>
      </c>
      <c r="C105" s="4" t="s">
        <v>732</v>
      </c>
      <c r="D105" s="1">
        <v>332</v>
      </c>
      <c r="E105" s="1">
        <v>0</v>
      </c>
      <c r="F105" s="1">
        <f t="shared" si="187"/>
        <v>332</v>
      </c>
      <c r="G105" s="1">
        <v>326</v>
      </c>
      <c r="H105" s="1">
        <v>0</v>
      </c>
      <c r="I105" s="1">
        <f t="shared" si="142"/>
        <v>326</v>
      </c>
      <c r="J105" s="1">
        <f t="shared" si="143"/>
        <v>324.5</v>
      </c>
      <c r="K105" s="1">
        <f>IF(ISNA(VLOOKUP($CZ105,'Audit Values'!$A$2:$AE$439,2,FALSE)),'Preliminary SO66'!B102,VLOOKUP($CZ105,'Audit Values'!$A$2:$AE$439,31,FALSE))</f>
        <v>324.5</v>
      </c>
      <c r="L105" s="1">
        <f t="shared" si="144"/>
        <v>327.5</v>
      </c>
      <c r="M105" s="1">
        <f>IF(ISNA(VLOOKUP($CZ105,'Audit Values'!$A$2:$AE$439,2,FALSE)),'Preliminary SO66'!Z102,VLOOKUP($CZ105,'Audit Values'!$A$2:$AE$439,26,FALSE))</f>
        <v>0</v>
      </c>
      <c r="N105" s="1">
        <f t="shared" si="145"/>
        <v>327.5</v>
      </c>
      <c r="O105" s="1">
        <f>IF(ISNA(VLOOKUP($CZ105,'Audit Values'!$A$2:$AE$439,2,FALSE)),'Preliminary SO66'!C102,IF(VLOOKUP($CZ105,'Audit Values'!$A$2:$AE$439,28,FALSE)="",VLOOKUP($CZ105,'Audit Values'!$A$2:$AE$439,3,FALSE),VLOOKUP($CZ105,'Audit Values'!$A$2:$AE$439,28,FALSE)))</f>
        <v>0</v>
      </c>
      <c r="P105" s="109">
        <f t="shared" si="146"/>
        <v>324.5</v>
      </c>
      <c r="Q105" s="110">
        <f t="shared" si="147"/>
        <v>324.5</v>
      </c>
      <c r="R105" s="111">
        <f t="shared" si="148"/>
        <v>324.5</v>
      </c>
      <c r="S105" s="1">
        <f t="shared" si="149"/>
        <v>327.5</v>
      </c>
      <c r="T105" s="1">
        <f t="shared" si="185"/>
        <v>0</v>
      </c>
      <c r="U105" s="1">
        <f t="shared" si="150"/>
        <v>155.5</v>
      </c>
      <c r="V105" s="1">
        <f t="shared" si="179"/>
        <v>155.5</v>
      </c>
      <c r="W105" s="1">
        <f t="shared" si="180"/>
        <v>0</v>
      </c>
      <c r="X105" s="1">
        <f>IF(ISNA(VLOOKUP($CZ105,'Audit Values'!$A$2:$AE$439,2,FALSE)),'Preliminary SO66'!D102,VLOOKUP($CZ105,'Audit Values'!$A$2:$AE$439,4,FALSE))</f>
        <v>55.2</v>
      </c>
      <c r="Y105" s="1">
        <f>ROUND((X105/6)*Weightings!$M$6,1)</f>
        <v>4.5999999999999996</v>
      </c>
      <c r="Z105" s="1">
        <f>IF(ISNA(VLOOKUP($CZ105,'Audit Values'!$A$2:$AE$439,2,FALSE)),'Preliminary SO66'!F102,VLOOKUP($CZ105,'Audit Values'!$A$2:$AE$439,6,FALSE))</f>
        <v>0</v>
      </c>
      <c r="AA105" s="1">
        <f>ROUND((Z105/6)*Weightings!$M$7,1)</f>
        <v>0</v>
      </c>
      <c r="AB105" s="2">
        <f>IF(ISNA(VLOOKUP($CZ105,'Audit Values'!$A$2:$AE$439,2,FALSE)),'Preliminary SO66'!H102,VLOOKUP($CZ105,'Audit Values'!$A$2:$AE$439,8,FALSE))</f>
        <v>81</v>
      </c>
      <c r="AC105" s="1">
        <f>ROUND(AB105*Weightings!$M$8,1)</f>
        <v>36.9</v>
      </c>
      <c r="AD105" s="1">
        <f t="shared" si="169"/>
        <v>0</v>
      </c>
      <c r="AE105" s="185">
        <v>26</v>
      </c>
      <c r="AF105" s="1">
        <f>AE105*Weightings!$M$9</f>
        <v>1.2</v>
      </c>
      <c r="AG105" s="1">
        <f>IF(ISNA(VLOOKUP($CZ105,'Audit Values'!$A$2:$AE$439,2,FALSE)),'Preliminary SO66'!L102,VLOOKUP($CZ105,'Audit Values'!$A$2:$AE$439,12,FALSE))</f>
        <v>0</v>
      </c>
      <c r="AH105" s="1">
        <f>ROUND(AG105*Weightings!$M$10,1)</f>
        <v>0</v>
      </c>
      <c r="AI105" s="1">
        <f>IF(ISNA(VLOOKUP($CZ105,'Audit Values'!$A$2:$AE$439,2,FALSE)),'Preliminary SO66'!O102,VLOOKUP($CZ105,'Audit Values'!$A$2:$AE$439,15,FALSE))</f>
        <v>207</v>
      </c>
      <c r="AJ105" s="1">
        <f t="shared" si="151"/>
        <v>74.900000000000006</v>
      </c>
      <c r="AK105" s="1">
        <f>CC105/Weightings!$M$5</f>
        <v>0</v>
      </c>
      <c r="AL105" s="1">
        <f>CD105/Weightings!$M$5</f>
        <v>0</v>
      </c>
      <c r="AM105" s="1">
        <f>CH105/Weightings!$M$5</f>
        <v>0</v>
      </c>
      <c r="AN105" s="1">
        <f t="shared" si="181"/>
        <v>0</v>
      </c>
      <c r="AO105" s="1">
        <f>IF(ISNA(VLOOKUP($CZ105,'Audit Values'!$A$2:$AE$439,2,FALSE)),'Preliminary SO66'!X102,VLOOKUP($CZ105,'Audit Values'!$A$2:$AE$439,24,FALSE))</f>
        <v>1</v>
      </c>
      <c r="AP105" s="188">
        <v>411673</v>
      </c>
      <c r="AQ105" s="113">
        <f>AP105/Weightings!$M$5</f>
        <v>107.3</v>
      </c>
      <c r="AR105" s="113">
        <f t="shared" si="152"/>
        <v>601.6</v>
      </c>
      <c r="AS105" s="1">
        <f t="shared" si="153"/>
        <v>708.9</v>
      </c>
      <c r="AT105" s="1">
        <f t="shared" si="154"/>
        <v>708.9</v>
      </c>
      <c r="AU105" s="2">
        <f t="shared" si="170"/>
        <v>0</v>
      </c>
      <c r="AV105" s="82">
        <f>IF(ISNA(VLOOKUP($CZ105,'Audit Values'!$A$2:$AC$360,2,FALSE)),"",IF(AND(Weightings!H105&gt;0,VLOOKUP($CZ105,'Audit Values'!$A$2:$AC$360,29,FALSE)&lt;Weightings!H105),Weightings!H105,VLOOKUP($CZ105,'Audit Values'!$A$2:$AC$360,29,FALSE)))</f>
        <v>15</v>
      </c>
      <c r="AW105" s="82" t="str">
        <f>IF(ISNA(VLOOKUP($CZ105,'Audit Values'!$A$2:$AD$360,2,FALSE)),"",VLOOKUP($CZ105,'Audit Values'!$A$2:$AD$360,30,FALSE))</f>
        <v>A</v>
      </c>
      <c r="AX105" s="82" t="str">
        <f>IF(Weightings!G105="","",IF(Weightings!I105="Pending","PX","R"))</f>
        <v/>
      </c>
      <c r="AY105" s="114">
        <f>AR105*Weightings!$M$5+AU105</f>
        <v>2308941</v>
      </c>
      <c r="AZ105" s="2">
        <f>AT105*Weightings!$M$5+AU105</f>
        <v>2720758</v>
      </c>
      <c r="BA105" s="2">
        <f>IF(Weightings!G105&gt;0,Weightings!G105,'Preliminary SO66'!AB102)</f>
        <v>2766430</v>
      </c>
      <c r="BB105" s="2">
        <f t="shared" si="155"/>
        <v>2720758</v>
      </c>
      <c r="BC105" s="124"/>
      <c r="BD105" s="124">
        <f>Weightings!E105</f>
        <v>0</v>
      </c>
      <c r="BE105" s="124">
        <f>Weightings!F105</f>
        <v>0</v>
      </c>
      <c r="BF105" s="2">
        <f t="shared" si="156"/>
        <v>0</v>
      </c>
      <c r="BG105" s="2">
        <f t="shared" si="157"/>
        <v>2720758</v>
      </c>
      <c r="BH105" s="2">
        <f>MAX(ROUND(((AR105-AO105)*4433)+AP105,0),ROUND(((AR105-AO105)*4433)+Weightings!B105,0))</f>
        <v>3074133</v>
      </c>
      <c r="BI105" s="174">
        <v>0.3</v>
      </c>
      <c r="BJ105" s="2">
        <f t="shared" si="188"/>
        <v>922240</v>
      </c>
      <c r="BK105" s="173">
        <v>936774</v>
      </c>
      <c r="BL105" s="2">
        <f t="shared" si="158"/>
        <v>922240</v>
      </c>
      <c r="BM105" s="3">
        <f t="shared" si="171"/>
        <v>0.3</v>
      </c>
      <c r="BN105" s="1">
        <f t="shared" si="159"/>
        <v>0</v>
      </c>
      <c r="BO105" s="4" t="b">
        <f t="shared" si="160"/>
        <v>0</v>
      </c>
      <c r="BP105" s="5">
        <f t="shared" si="161"/>
        <v>0</v>
      </c>
      <c r="BQ105" s="6">
        <f t="shared" si="140"/>
        <v>0</v>
      </c>
      <c r="BR105" s="4">
        <f t="shared" si="162"/>
        <v>0</v>
      </c>
      <c r="BS105" s="4" t="b">
        <f t="shared" si="163"/>
        <v>1</v>
      </c>
      <c r="BT105" s="4">
        <f t="shared" si="164"/>
        <v>34.031300000000002</v>
      </c>
      <c r="BU105" s="6">
        <f t="shared" si="141"/>
        <v>0.47484300000000002</v>
      </c>
      <c r="BV105" s="1">
        <f t="shared" si="165"/>
        <v>155.5</v>
      </c>
      <c r="BW105" s="1">
        <f t="shared" si="166"/>
        <v>0</v>
      </c>
      <c r="BX105" s="116">
        <v>864</v>
      </c>
      <c r="BY105" s="7">
        <f t="shared" si="172"/>
        <v>0.24</v>
      </c>
      <c r="BZ105" s="7">
        <f>IF(ROUND((Weightings!$P$5*BY105^Weightings!$P$6*Weightings!$P$8 ),2)&lt;Weightings!$P$7,Weightings!$P$7,ROUND((Weightings!$P$5*BY105^Weightings!$P$6*Weightings!$P$8 ),2))</f>
        <v>1387.87</v>
      </c>
      <c r="CA105" s="8">
        <f>ROUND(BZ105/Weightings!$M$5,4)</f>
        <v>0.36159999999999998</v>
      </c>
      <c r="CB105" s="1">
        <f t="shared" si="173"/>
        <v>74.900000000000006</v>
      </c>
      <c r="CC105" s="173">
        <v>0</v>
      </c>
      <c r="CD105" s="173">
        <v>0</v>
      </c>
      <c r="CE105" s="173">
        <v>0</v>
      </c>
      <c r="CF105" s="177">
        <v>0</v>
      </c>
      <c r="CG105" s="2">
        <f>AS105*Weightings!$M$5*CF105</f>
        <v>0</v>
      </c>
      <c r="CH105" s="2">
        <f t="shared" si="174"/>
        <v>0</v>
      </c>
      <c r="CI105" s="117">
        <f t="shared" si="167"/>
        <v>0.247</v>
      </c>
      <c r="CJ105" s="4">
        <f t="shared" si="168"/>
        <v>0.4</v>
      </c>
      <c r="CK105" s="1">
        <f t="shared" si="175"/>
        <v>0</v>
      </c>
      <c r="CL105" s="1">
        <f t="shared" si="176"/>
        <v>0</v>
      </c>
      <c r="CM105" s="1">
        <f t="shared" si="177"/>
        <v>0</v>
      </c>
      <c r="CN105" s="1">
        <f>IF(ISNA(VLOOKUP($CZ105,'Audit Values'!$A$2:$AE$439,2,FALSE)),'Preliminary SO66'!T102,VLOOKUP($CZ105,'Audit Values'!$A$2:$AE$439,20,FALSE))</f>
        <v>0</v>
      </c>
      <c r="CO105" s="1">
        <f t="shared" si="182"/>
        <v>0</v>
      </c>
      <c r="CP105" s="183">
        <v>0</v>
      </c>
      <c r="CQ105" s="1">
        <f t="shared" si="183"/>
        <v>0</v>
      </c>
      <c r="CR105" s="2">
        <f>IF(ISNA(VLOOKUP($CZ105,'Audit Values'!$A$2:$AE$439,2,FALSE)),'Preliminary SO66'!V102,VLOOKUP($CZ105,'Audit Values'!$A$2:$AE$439,22,FALSE))</f>
        <v>0</v>
      </c>
      <c r="CS105" s="1">
        <f t="shared" si="184"/>
        <v>0</v>
      </c>
      <c r="CT105" s="2">
        <f>IF(ISNA(VLOOKUP($CZ105,'Audit Values'!$A$2:$AE$439,2,FALSE)),'Preliminary SO66'!W102,VLOOKUP($CZ105,'Audit Values'!$A$2:$AE$439,23,FALSE))</f>
        <v>0</v>
      </c>
      <c r="CU105" s="1">
        <f t="shared" si="189"/>
        <v>0</v>
      </c>
      <c r="CV105" s="1">
        <f t="shared" si="190"/>
        <v>0</v>
      </c>
      <c r="CW105" s="176">
        <v>0</v>
      </c>
      <c r="CX105" s="2">
        <f>IF(CW105&gt;0,Weightings!$M$11*AR105,0)</f>
        <v>0</v>
      </c>
      <c r="CY105" s="2">
        <f t="shared" si="178"/>
        <v>0</v>
      </c>
      <c r="CZ105" s="108" t="s">
        <v>397</v>
      </c>
    </row>
    <row r="106" spans="1:104">
      <c r="A106" s="82">
        <v>303</v>
      </c>
      <c r="B106" s="4" t="s">
        <v>49</v>
      </c>
      <c r="C106" s="4" t="s">
        <v>733</v>
      </c>
      <c r="D106" s="1">
        <v>304.10000000000002</v>
      </c>
      <c r="E106" s="1">
        <v>0</v>
      </c>
      <c r="F106" s="1">
        <f t="shared" si="187"/>
        <v>304.10000000000002</v>
      </c>
      <c r="G106" s="1">
        <v>304.89999999999998</v>
      </c>
      <c r="H106" s="1">
        <v>0</v>
      </c>
      <c r="I106" s="1">
        <f t="shared" si="142"/>
        <v>304.89999999999998</v>
      </c>
      <c r="J106" s="1">
        <f t="shared" si="143"/>
        <v>298.8</v>
      </c>
      <c r="K106" s="1">
        <f>IF(ISNA(VLOOKUP($CZ106,'Audit Values'!$A$2:$AE$439,2,FALSE)),'Preliminary SO66'!B103,VLOOKUP($CZ106,'Audit Values'!$A$2:$AE$439,31,FALSE))</f>
        <v>298.8</v>
      </c>
      <c r="L106" s="1">
        <f t="shared" si="144"/>
        <v>304.89999999999998</v>
      </c>
      <c r="M106" s="1">
        <f>IF(ISNA(VLOOKUP($CZ106,'Audit Values'!$A$2:$AE$439,2,FALSE)),'Preliminary SO66'!Z103,VLOOKUP($CZ106,'Audit Values'!$A$2:$AE$439,26,FALSE))</f>
        <v>0</v>
      </c>
      <c r="N106" s="1">
        <f t="shared" si="145"/>
        <v>304.89999999999998</v>
      </c>
      <c r="O106" s="1">
        <f>IF(ISNA(VLOOKUP($CZ106,'Audit Values'!$A$2:$AE$439,2,FALSE)),'Preliminary SO66'!C103,IF(VLOOKUP($CZ106,'Audit Values'!$A$2:$AE$439,28,FALSE)="",VLOOKUP($CZ106,'Audit Values'!$A$2:$AE$439,3,FALSE),VLOOKUP($CZ106,'Audit Values'!$A$2:$AE$439,28,FALSE)))</f>
        <v>0</v>
      </c>
      <c r="P106" s="109">
        <f t="shared" si="146"/>
        <v>298.8</v>
      </c>
      <c r="Q106" s="110">
        <f t="shared" si="147"/>
        <v>298.8</v>
      </c>
      <c r="R106" s="111">
        <f t="shared" si="148"/>
        <v>298.8</v>
      </c>
      <c r="S106" s="1">
        <f t="shared" si="149"/>
        <v>304.89999999999998</v>
      </c>
      <c r="T106" s="1">
        <f t="shared" si="185"/>
        <v>0</v>
      </c>
      <c r="U106" s="1">
        <f t="shared" si="150"/>
        <v>147.1</v>
      </c>
      <c r="V106" s="1">
        <f t="shared" si="179"/>
        <v>147.1</v>
      </c>
      <c r="W106" s="1">
        <f t="shared" si="180"/>
        <v>0</v>
      </c>
      <c r="X106" s="1">
        <f>IF(ISNA(VLOOKUP($CZ106,'Audit Values'!$A$2:$AE$439,2,FALSE)),'Preliminary SO66'!D103,VLOOKUP($CZ106,'Audit Values'!$A$2:$AE$439,4,FALSE))</f>
        <v>103.7</v>
      </c>
      <c r="Y106" s="1">
        <f>ROUND((X106/6)*Weightings!$M$6,1)</f>
        <v>8.6</v>
      </c>
      <c r="Z106" s="1">
        <f>IF(ISNA(VLOOKUP($CZ106,'Audit Values'!$A$2:$AE$439,2,FALSE)),'Preliminary SO66'!F103,VLOOKUP($CZ106,'Audit Values'!$A$2:$AE$439,6,FALSE))</f>
        <v>58.3</v>
      </c>
      <c r="AA106" s="1">
        <f>ROUND((Z106/6)*Weightings!$M$7,1)</f>
        <v>3.8</v>
      </c>
      <c r="AB106" s="2">
        <f>IF(ISNA(VLOOKUP($CZ106,'Audit Values'!$A$2:$AE$439,2,FALSE)),'Preliminary SO66'!H103,VLOOKUP($CZ106,'Audit Values'!$A$2:$AE$439,8,FALSE))</f>
        <v>91</v>
      </c>
      <c r="AC106" s="1">
        <f>ROUND(AB106*Weightings!$M$8,1)</f>
        <v>41.5</v>
      </c>
      <c r="AD106" s="1">
        <f t="shared" si="169"/>
        <v>0</v>
      </c>
      <c r="AE106" s="185">
        <v>52</v>
      </c>
      <c r="AF106" s="1">
        <f>AE106*Weightings!$M$9</f>
        <v>2.4</v>
      </c>
      <c r="AG106" s="1">
        <f>IF(ISNA(VLOOKUP($CZ106,'Audit Values'!$A$2:$AE$439,2,FALSE)),'Preliminary SO66'!L103,VLOOKUP($CZ106,'Audit Values'!$A$2:$AE$439,12,FALSE))</f>
        <v>0</v>
      </c>
      <c r="AH106" s="1">
        <f>ROUND(AG106*Weightings!$M$10,1)</f>
        <v>0</v>
      </c>
      <c r="AI106" s="1">
        <f>IF(ISNA(VLOOKUP($CZ106,'Audit Values'!$A$2:$AE$439,2,FALSE)),'Preliminary SO66'!O103,VLOOKUP($CZ106,'Audit Values'!$A$2:$AE$439,15,FALSE))</f>
        <v>41.6</v>
      </c>
      <c r="AJ106" s="1">
        <f t="shared" si="151"/>
        <v>19.3</v>
      </c>
      <c r="AK106" s="1">
        <f>CC106/Weightings!$M$5</f>
        <v>0</v>
      </c>
      <c r="AL106" s="1">
        <f>CD106/Weightings!$M$5</f>
        <v>0</v>
      </c>
      <c r="AM106" s="1">
        <f>CH106/Weightings!$M$5</f>
        <v>0</v>
      </c>
      <c r="AN106" s="1">
        <f t="shared" si="181"/>
        <v>0</v>
      </c>
      <c r="AO106" s="1">
        <f>IF(ISNA(VLOOKUP($CZ106,'Audit Values'!$A$2:$AE$439,2,FALSE)),'Preliminary SO66'!X103,VLOOKUP($CZ106,'Audit Values'!$A$2:$AE$439,24,FALSE))</f>
        <v>0</v>
      </c>
      <c r="AP106" s="188">
        <v>215166</v>
      </c>
      <c r="AQ106" s="113">
        <f>AP106/Weightings!$M$5</f>
        <v>56.1</v>
      </c>
      <c r="AR106" s="113">
        <f t="shared" si="152"/>
        <v>527.6</v>
      </c>
      <c r="AS106" s="1">
        <f t="shared" si="153"/>
        <v>583.70000000000005</v>
      </c>
      <c r="AT106" s="1">
        <f t="shared" si="154"/>
        <v>583.70000000000005</v>
      </c>
      <c r="AU106" s="2">
        <f t="shared" si="170"/>
        <v>0</v>
      </c>
      <c r="AV106" s="82">
        <f>IF(ISNA(VLOOKUP($CZ106,'Audit Values'!$A$2:$AC$360,2,FALSE)),"",IF(AND(Weightings!H106&gt;0,VLOOKUP($CZ106,'Audit Values'!$A$2:$AC$360,29,FALSE)&lt;Weightings!H106),Weightings!H106,VLOOKUP($CZ106,'Audit Values'!$A$2:$AC$360,29,FALSE)))</f>
        <v>21</v>
      </c>
      <c r="AW106" s="82" t="str">
        <f>IF(ISNA(VLOOKUP($CZ106,'Audit Values'!$A$2:$AD$360,2,FALSE)),"",VLOOKUP($CZ106,'Audit Values'!$A$2:$AD$360,30,FALSE))</f>
        <v>A</v>
      </c>
      <c r="AX106" s="82" t="str">
        <f>IF(Weightings!G106="","",IF(Weightings!I106="Pending","PX","R"))</f>
        <v/>
      </c>
      <c r="AY106" s="114">
        <f>AR106*Weightings!$M$5+AU106</f>
        <v>2024929</v>
      </c>
      <c r="AZ106" s="2">
        <f>AT106*Weightings!$M$5+AU106</f>
        <v>2240241</v>
      </c>
      <c r="BA106" s="2">
        <f>IF(Weightings!G106&gt;0,Weightings!G106,'Preliminary SO66'!AB103)</f>
        <v>2398750</v>
      </c>
      <c r="BB106" s="2">
        <f t="shared" si="155"/>
        <v>2240241</v>
      </c>
      <c r="BC106" s="124"/>
      <c r="BD106" s="124">
        <f>Weightings!E106</f>
        <v>0</v>
      </c>
      <c r="BE106" s="124">
        <f>Weightings!F106</f>
        <v>0</v>
      </c>
      <c r="BF106" s="2">
        <f t="shared" si="156"/>
        <v>0</v>
      </c>
      <c r="BG106" s="2">
        <f t="shared" si="157"/>
        <v>2240241</v>
      </c>
      <c r="BH106" s="2">
        <f>MAX(ROUND(((AR106-AO106)*4433)+AP106,0),ROUND(((AR106-AO106)*4433)+Weightings!B106,0))</f>
        <v>2568592</v>
      </c>
      <c r="BI106" s="174">
        <v>0.3</v>
      </c>
      <c r="BJ106" s="2">
        <f t="shared" si="188"/>
        <v>770578</v>
      </c>
      <c r="BK106" s="173">
        <v>731000</v>
      </c>
      <c r="BL106" s="2">
        <f t="shared" si="158"/>
        <v>731000</v>
      </c>
      <c r="BM106" s="3">
        <f t="shared" si="171"/>
        <v>0.28460000000000002</v>
      </c>
      <c r="BN106" s="1">
        <f t="shared" si="159"/>
        <v>0</v>
      </c>
      <c r="BO106" s="4" t="b">
        <f t="shared" si="160"/>
        <v>0</v>
      </c>
      <c r="BP106" s="5">
        <f t="shared" si="161"/>
        <v>0</v>
      </c>
      <c r="BQ106" s="6">
        <f t="shared" si="140"/>
        <v>0</v>
      </c>
      <c r="BR106" s="4">
        <f t="shared" si="162"/>
        <v>0</v>
      </c>
      <c r="BS106" s="4" t="b">
        <f t="shared" si="163"/>
        <v>1</v>
      </c>
      <c r="BT106" s="4">
        <f t="shared" si="164"/>
        <v>6.0636999999999999</v>
      </c>
      <c r="BU106" s="6">
        <f t="shared" si="141"/>
        <v>0.48252099999999998</v>
      </c>
      <c r="BV106" s="1">
        <f t="shared" si="165"/>
        <v>147.1</v>
      </c>
      <c r="BW106" s="1">
        <f t="shared" si="166"/>
        <v>0</v>
      </c>
      <c r="BX106" s="116">
        <v>517.79999999999995</v>
      </c>
      <c r="BY106" s="7">
        <f t="shared" si="172"/>
        <v>0.08</v>
      </c>
      <c r="BZ106" s="7">
        <f>IF(ROUND((Weightings!$P$5*BY106^Weightings!$P$6*Weightings!$P$8 ),2)&lt;Weightings!$P$7,Weightings!$P$7,ROUND((Weightings!$P$5*BY106^Weightings!$P$6*Weightings!$P$8 ),2))</f>
        <v>1783.12</v>
      </c>
      <c r="CA106" s="8">
        <f>ROUND(BZ106/Weightings!$M$5,4)</f>
        <v>0.46460000000000001</v>
      </c>
      <c r="CB106" s="1">
        <f t="shared" si="173"/>
        <v>19.3</v>
      </c>
      <c r="CC106" s="173">
        <v>0</v>
      </c>
      <c r="CD106" s="173">
        <v>0</v>
      </c>
      <c r="CE106" s="173">
        <v>0</v>
      </c>
      <c r="CF106" s="177">
        <v>0</v>
      </c>
      <c r="CG106" s="2">
        <f>AS106*Weightings!$M$5*CF106</f>
        <v>0</v>
      </c>
      <c r="CH106" s="2">
        <f t="shared" si="174"/>
        <v>0</v>
      </c>
      <c r="CI106" s="117">
        <f t="shared" si="167"/>
        <v>0.29799999999999999</v>
      </c>
      <c r="CJ106" s="4">
        <f t="shared" si="168"/>
        <v>0.6</v>
      </c>
      <c r="CK106" s="1">
        <f t="shared" si="175"/>
        <v>0</v>
      </c>
      <c r="CL106" s="1">
        <f t="shared" si="176"/>
        <v>0</v>
      </c>
      <c r="CM106" s="1">
        <f t="shared" si="177"/>
        <v>0</v>
      </c>
      <c r="CN106" s="1">
        <f>IF(ISNA(VLOOKUP($CZ106,'Audit Values'!$A$2:$AE$439,2,FALSE)),'Preliminary SO66'!T103,VLOOKUP($CZ106,'Audit Values'!$A$2:$AE$439,20,FALSE))</f>
        <v>0</v>
      </c>
      <c r="CO106" s="1">
        <f t="shared" si="182"/>
        <v>0</v>
      </c>
      <c r="CP106" s="183">
        <v>0</v>
      </c>
      <c r="CQ106" s="1">
        <f t="shared" si="183"/>
        <v>0</v>
      </c>
      <c r="CR106" s="2">
        <f>IF(ISNA(VLOOKUP($CZ106,'Audit Values'!$A$2:$AE$439,2,FALSE)),'Preliminary SO66'!V103,VLOOKUP($CZ106,'Audit Values'!$A$2:$AE$439,22,FALSE))</f>
        <v>0</v>
      </c>
      <c r="CS106" s="1">
        <f t="shared" si="184"/>
        <v>0</v>
      </c>
      <c r="CT106" s="2">
        <f>IF(ISNA(VLOOKUP($CZ106,'Audit Values'!$A$2:$AE$439,2,FALSE)),'Preliminary SO66'!W103,VLOOKUP($CZ106,'Audit Values'!$A$2:$AE$439,23,FALSE))</f>
        <v>0</v>
      </c>
      <c r="CU106" s="1">
        <f t="shared" si="189"/>
        <v>0</v>
      </c>
      <c r="CV106" s="1">
        <f t="shared" si="190"/>
        <v>0</v>
      </c>
      <c r="CW106" s="176">
        <v>0</v>
      </c>
      <c r="CX106" s="2">
        <f>IF(CW106&gt;0,Weightings!$M$11*AR106,0)</f>
        <v>0</v>
      </c>
      <c r="CY106" s="2">
        <f t="shared" si="178"/>
        <v>0</v>
      </c>
      <c r="CZ106" s="108" t="s">
        <v>398</v>
      </c>
    </row>
    <row r="107" spans="1:104">
      <c r="A107" s="82">
        <v>305</v>
      </c>
      <c r="B107" s="4" t="s">
        <v>50</v>
      </c>
      <c r="C107" s="4" t="s">
        <v>734</v>
      </c>
      <c r="D107" s="1">
        <v>6867.8</v>
      </c>
      <c r="E107" s="1">
        <v>0</v>
      </c>
      <c r="F107" s="1">
        <f t="shared" si="187"/>
        <v>6867.8</v>
      </c>
      <c r="G107" s="1">
        <v>6872.1</v>
      </c>
      <c r="H107" s="1">
        <v>0</v>
      </c>
      <c r="I107" s="1">
        <f t="shared" si="142"/>
        <v>6872.1</v>
      </c>
      <c r="J107" s="1">
        <f t="shared" si="143"/>
        <v>6894.1</v>
      </c>
      <c r="K107" s="1">
        <f>IF(ISNA(VLOOKUP($CZ107,'Audit Values'!$A$2:$AE$439,2,FALSE)),'Preliminary SO66'!B104,VLOOKUP($CZ107,'Audit Values'!$A$2:$AE$439,31,FALSE))</f>
        <v>6894.1</v>
      </c>
      <c r="L107" s="1">
        <f t="shared" si="144"/>
        <v>6894.1</v>
      </c>
      <c r="M107" s="1">
        <f>IF(ISNA(VLOOKUP($CZ107,'Audit Values'!$A$2:$AE$439,2,FALSE)),'Preliminary SO66'!Z104,VLOOKUP($CZ107,'Audit Values'!$A$2:$AE$439,26,FALSE))</f>
        <v>0</v>
      </c>
      <c r="N107" s="1">
        <f t="shared" si="145"/>
        <v>6894.1</v>
      </c>
      <c r="O107" s="1">
        <f>IF(ISNA(VLOOKUP($CZ107,'Audit Values'!$A$2:$AE$439,2,FALSE)),'Preliminary SO66'!C104,IF(VLOOKUP($CZ107,'Audit Values'!$A$2:$AE$439,28,FALSE)="",VLOOKUP($CZ107,'Audit Values'!$A$2:$AE$439,3,FALSE),VLOOKUP($CZ107,'Audit Values'!$A$2:$AE$439,28,FALSE)))</f>
        <v>30</v>
      </c>
      <c r="P107" s="109">
        <f t="shared" si="146"/>
        <v>6924.1</v>
      </c>
      <c r="Q107" s="110">
        <f t="shared" si="147"/>
        <v>6924.1</v>
      </c>
      <c r="R107" s="111">
        <f t="shared" si="148"/>
        <v>6924.1</v>
      </c>
      <c r="S107" s="1">
        <f t="shared" si="149"/>
        <v>6924.1</v>
      </c>
      <c r="T107" s="1">
        <f t="shared" si="185"/>
        <v>0</v>
      </c>
      <c r="U107" s="1">
        <f t="shared" si="150"/>
        <v>242.6</v>
      </c>
      <c r="V107" s="1">
        <f t="shared" si="179"/>
        <v>0</v>
      </c>
      <c r="W107" s="1">
        <f t="shared" si="180"/>
        <v>242.6</v>
      </c>
      <c r="X107" s="1">
        <f>IF(ISNA(VLOOKUP($CZ107,'Audit Values'!$A$2:$AE$439,2,FALSE)),'Preliminary SO66'!D104,VLOOKUP($CZ107,'Audit Values'!$A$2:$AE$439,4,FALSE))</f>
        <v>688.8</v>
      </c>
      <c r="Y107" s="1">
        <f>ROUND((X107/6)*Weightings!$M$6,1)</f>
        <v>57.4</v>
      </c>
      <c r="Z107" s="1">
        <f>IF(ISNA(VLOOKUP($CZ107,'Audit Values'!$A$2:$AE$439,2,FALSE)),'Preliminary SO66'!F104,VLOOKUP($CZ107,'Audit Values'!$A$2:$AE$439,6,FALSE))</f>
        <v>1500</v>
      </c>
      <c r="AA107" s="1">
        <f>ROUND((Z107/6)*Weightings!$M$7,1)</f>
        <v>98.8</v>
      </c>
      <c r="AB107" s="2">
        <f>IF(ISNA(VLOOKUP($CZ107,'Audit Values'!$A$2:$AE$439,2,FALSE)),'Preliminary SO66'!H104,VLOOKUP($CZ107,'Audit Values'!$A$2:$AE$439,8,FALSE))</f>
        <v>3602</v>
      </c>
      <c r="AC107" s="1">
        <f>ROUND(AB107*Weightings!$M$8,1)</f>
        <v>1642.5</v>
      </c>
      <c r="AD107" s="1">
        <f t="shared" si="169"/>
        <v>378.2</v>
      </c>
      <c r="AE107" s="185">
        <v>496</v>
      </c>
      <c r="AF107" s="1">
        <f>AE107*Weightings!$M$9</f>
        <v>23.1</v>
      </c>
      <c r="AG107" s="1">
        <f>IF(ISNA(VLOOKUP($CZ107,'Audit Values'!$A$2:$AE$439,2,FALSE)),'Preliminary SO66'!L104,VLOOKUP($CZ107,'Audit Values'!$A$2:$AE$439,12,FALSE))</f>
        <v>0</v>
      </c>
      <c r="AH107" s="1">
        <f>ROUND(AG107*Weightings!$M$10,1)</f>
        <v>0</v>
      </c>
      <c r="AI107" s="1">
        <f>IF(ISNA(VLOOKUP($CZ107,'Audit Values'!$A$2:$AE$439,2,FALSE)),'Preliminary SO66'!O104,VLOOKUP($CZ107,'Audit Values'!$A$2:$AE$439,15,FALSE))</f>
        <v>954.5</v>
      </c>
      <c r="AJ107" s="1">
        <f t="shared" si="151"/>
        <v>146.5</v>
      </c>
      <c r="AK107" s="1">
        <f>CC107/Weightings!$M$5</f>
        <v>0</v>
      </c>
      <c r="AL107" s="1">
        <f>CD107/Weightings!$M$5</f>
        <v>0</v>
      </c>
      <c r="AM107" s="1">
        <f>CH107/Weightings!$M$5</f>
        <v>0</v>
      </c>
      <c r="AN107" s="1">
        <f t="shared" si="181"/>
        <v>0</v>
      </c>
      <c r="AO107" s="1">
        <f>IF(ISNA(VLOOKUP($CZ107,'Audit Values'!$A$2:$AE$439,2,FALSE)),'Preliminary SO66'!X104,VLOOKUP($CZ107,'Audit Values'!$A$2:$AE$439,24,FALSE))</f>
        <v>1</v>
      </c>
      <c r="AP107" s="188">
        <v>6879938.9999999991</v>
      </c>
      <c r="AQ107" s="113">
        <f>AP107/Weightings!$M$5</f>
        <v>1792.6</v>
      </c>
      <c r="AR107" s="113">
        <f t="shared" si="152"/>
        <v>9514.2000000000007</v>
      </c>
      <c r="AS107" s="1">
        <f t="shared" si="153"/>
        <v>11306.8</v>
      </c>
      <c r="AT107" s="1">
        <f t="shared" si="154"/>
        <v>11306.8</v>
      </c>
      <c r="AU107" s="2">
        <f t="shared" si="170"/>
        <v>0</v>
      </c>
      <c r="AV107" s="82">
        <f>IF(ISNA(VLOOKUP($CZ107,'Audit Values'!$A$2:$AC$360,2,FALSE)),"",IF(AND(Weightings!H107&gt;0,VLOOKUP($CZ107,'Audit Values'!$A$2:$AC$360,29,FALSE)&lt;Weightings!H107),Weightings!H107,VLOOKUP($CZ107,'Audit Values'!$A$2:$AC$360,29,FALSE)))</f>
        <v>23</v>
      </c>
      <c r="AW107" s="82" t="str">
        <f>IF(ISNA(VLOOKUP($CZ107,'Audit Values'!$A$2:$AD$360,2,FALSE)),"",VLOOKUP($CZ107,'Audit Values'!$A$2:$AD$360,30,FALSE))</f>
        <v>A</v>
      </c>
      <c r="AX107" s="82" t="str">
        <f>IF(Weightings!G107="","",IF(Weightings!I107="Pending","PX","R"))</f>
        <v>R</v>
      </c>
      <c r="AY107" s="114">
        <f>AR107*Weightings!$M$5+AU107</f>
        <v>36515500</v>
      </c>
      <c r="AZ107" s="2">
        <f>AT107*Weightings!$M$5+AU107</f>
        <v>43395498</v>
      </c>
      <c r="BA107" s="2">
        <f>IF(Weightings!G107&gt;0,Weightings!G107,'Preliminary SO66'!AB104)</f>
        <v>43970815</v>
      </c>
      <c r="BB107" s="2">
        <f t="shared" si="155"/>
        <v>43395498</v>
      </c>
      <c r="BC107" s="124"/>
      <c r="BD107" s="124">
        <f>Weightings!E107</f>
        <v>0</v>
      </c>
      <c r="BE107" s="124">
        <f>Weightings!F107</f>
        <v>0</v>
      </c>
      <c r="BF107" s="2">
        <f t="shared" si="156"/>
        <v>0</v>
      </c>
      <c r="BG107" s="2">
        <f t="shared" si="157"/>
        <v>43395498</v>
      </c>
      <c r="BH107" s="2">
        <f>MAX(ROUND(((AR107-AO107)*4433)+AP107,0),ROUND(((AR107-AO107)*4433)+Weightings!B107,0))</f>
        <v>49140971</v>
      </c>
      <c r="BI107" s="174">
        <v>0.3</v>
      </c>
      <c r="BJ107" s="2">
        <f t="shared" si="188"/>
        <v>14742291</v>
      </c>
      <c r="BK107" s="173">
        <v>14773308</v>
      </c>
      <c r="BL107" s="2">
        <f t="shared" si="158"/>
        <v>14742291</v>
      </c>
      <c r="BM107" s="3">
        <f t="shared" si="171"/>
        <v>0.3</v>
      </c>
      <c r="BN107" s="1">
        <f t="shared" si="159"/>
        <v>0</v>
      </c>
      <c r="BO107" s="4" t="b">
        <f t="shared" si="160"/>
        <v>0</v>
      </c>
      <c r="BP107" s="5">
        <f t="shared" si="161"/>
        <v>0</v>
      </c>
      <c r="BQ107" s="6">
        <f t="shared" si="140"/>
        <v>0</v>
      </c>
      <c r="BR107" s="4">
        <f t="shared" si="162"/>
        <v>0</v>
      </c>
      <c r="BS107" s="4" t="b">
        <f t="shared" si="163"/>
        <v>0</v>
      </c>
      <c r="BT107" s="4">
        <f t="shared" si="164"/>
        <v>0</v>
      </c>
      <c r="BU107" s="6">
        <f t="shared" si="141"/>
        <v>0</v>
      </c>
      <c r="BV107" s="1">
        <f t="shared" si="165"/>
        <v>0</v>
      </c>
      <c r="BW107" s="1">
        <f t="shared" si="166"/>
        <v>242.6</v>
      </c>
      <c r="BX107" s="116">
        <v>93</v>
      </c>
      <c r="BY107" s="7">
        <f t="shared" si="172"/>
        <v>10.26</v>
      </c>
      <c r="BZ107" s="7">
        <f>IF(ROUND((Weightings!$P$5*BY107^Weightings!$P$6*Weightings!$P$8 ),2)&lt;Weightings!$P$7,Weightings!$P$7,ROUND((Weightings!$P$5*BY107^Weightings!$P$6*Weightings!$P$8 ),2))</f>
        <v>589.29</v>
      </c>
      <c r="CA107" s="8">
        <f>ROUND(BZ107/Weightings!$M$5,4)</f>
        <v>0.1535</v>
      </c>
      <c r="CB107" s="1">
        <f t="shared" si="173"/>
        <v>146.5</v>
      </c>
      <c r="CC107" s="173">
        <v>0</v>
      </c>
      <c r="CD107" s="173">
        <v>0</v>
      </c>
      <c r="CE107" s="173">
        <v>0</v>
      </c>
      <c r="CF107" s="177">
        <v>0</v>
      </c>
      <c r="CG107" s="2">
        <f>AS107*Weightings!$M$5*CF107</f>
        <v>0</v>
      </c>
      <c r="CH107" s="2">
        <f t="shared" si="174"/>
        <v>0</v>
      </c>
      <c r="CI107" s="117">
        <f t="shared" si="167"/>
        <v>0.52</v>
      </c>
      <c r="CJ107" s="4">
        <f t="shared" si="168"/>
        <v>74.5</v>
      </c>
      <c r="CK107" s="1">
        <f t="shared" si="175"/>
        <v>378.2</v>
      </c>
      <c r="CL107" s="1">
        <f t="shared" si="176"/>
        <v>0</v>
      </c>
      <c r="CM107" s="1">
        <f t="shared" si="177"/>
        <v>0</v>
      </c>
      <c r="CN107" s="1">
        <f>IF(ISNA(VLOOKUP($CZ107,'Audit Values'!$A$2:$AE$439,2,FALSE)),'Preliminary SO66'!T104,VLOOKUP($CZ107,'Audit Values'!$A$2:$AE$439,20,FALSE))</f>
        <v>0</v>
      </c>
      <c r="CO107" s="1">
        <f t="shared" si="182"/>
        <v>0</v>
      </c>
      <c r="CP107" s="183">
        <v>0</v>
      </c>
      <c r="CQ107" s="1">
        <f t="shared" si="183"/>
        <v>0</v>
      </c>
      <c r="CR107" s="2">
        <f>IF(ISNA(VLOOKUP($CZ107,'Audit Values'!$A$2:$AE$439,2,FALSE)),'Preliminary SO66'!V104,VLOOKUP($CZ107,'Audit Values'!$A$2:$AE$439,22,FALSE))</f>
        <v>0</v>
      </c>
      <c r="CS107" s="1">
        <f t="shared" si="184"/>
        <v>0</v>
      </c>
      <c r="CT107" s="2">
        <f>IF(ISNA(VLOOKUP($CZ107,'Audit Values'!$A$2:$AE$439,2,FALSE)),'Preliminary SO66'!W104,VLOOKUP($CZ107,'Audit Values'!$A$2:$AE$439,23,FALSE))</f>
        <v>0</v>
      </c>
      <c r="CU107" s="1">
        <f t="shared" si="189"/>
        <v>0</v>
      </c>
      <c r="CV107" s="1">
        <f t="shared" si="190"/>
        <v>0</v>
      </c>
      <c r="CW107" s="176">
        <v>0</v>
      </c>
      <c r="CX107" s="2">
        <f>IF(CW107&gt;0,Weightings!$M$11*AR107,0)</f>
        <v>0</v>
      </c>
      <c r="CY107" s="2">
        <f t="shared" si="178"/>
        <v>0</v>
      </c>
      <c r="CZ107" s="108" t="s">
        <v>399</v>
      </c>
    </row>
    <row r="108" spans="1:104">
      <c r="A108" s="82">
        <v>306</v>
      </c>
      <c r="B108" s="4" t="s">
        <v>50</v>
      </c>
      <c r="C108" s="4" t="s">
        <v>735</v>
      </c>
      <c r="D108" s="1">
        <v>714.5</v>
      </c>
      <c r="E108" s="1">
        <v>0</v>
      </c>
      <c r="F108" s="1">
        <f t="shared" si="187"/>
        <v>714.5</v>
      </c>
      <c r="G108" s="1">
        <v>703.8</v>
      </c>
      <c r="H108" s="1">
        <v>0</v>
      </c>
      <c r="I108" s="1">
        <f t="shared" si="142"/>
        <v>703.8</v>
      </c>
      <c r="J108" s="1">
        <f t="shared" si="143"/>
        <v>720.2</v>
      </c>
      <c r="K108" s="1">
        <f>IF(ISNA(VLOOKUP($CZ108,'Audit Values'!$A$2:$AE$439,2,FALSE)),'Preliminary SO66'!B105,VLOOKUP($CZ108,'Audit Values'!$A$2:$AE$439,31,FALSE))</f>
        <v>720.2</v>
      </c>
      <c r="L108" s="1">
        <f t="shared" si="144"/>
        <v>720.2</v>
      </c>
      <c r="M108" s="1">
        <f>IF(ISNA(VLOOKUP($CZ108,'Audit Values'!$A$2:$AE$439,2,FALSE)),'Preliminary SO66'!Z105,VLOOKUP($CZ108,'Audit Values'!$A$2:$AE$439,26,FALSE))</f>
        <v>0</v>
      </c>
      <c r="N108" s="1">
        <f t="shared" si="145"/>
        <v>720.2</v>
      </c>
      <c r="O108" s="1">
        <f>IF(ISNA(VLOOKUP($CZ108,'Audit Values'!$A$2:$AE$439,2,FALSE)),'Preliminary SO66'!C105,IF(VLOOKUP($CZ108,'Audit Values'!$A$2:$AE$439,28,FALSE)="",VLOOKUP($CZ108,'Audit Values'!$A$2:$AE$439,3,FALSE),VLOOKUP($CZ108,'Audit Values'!$A$2:$AE$439,28,FALSE)))</f>
        <v>0</v>
      </c>
      <c r="P108" s="109">
        <f t="shared" si="146"/>
        <v>720.2</v>
      </c>
      <c r="Q108" s="110">
        <f t="shared" si="147"/>
        <v>720.2</v>
      </c>
      <c r="R108" s="111">
        <f t="shared" si="148"/>
        <v>720.2</v>
      </c>
      <c r="S108" s="1">
        <f t="shared" si="149"/>
        <v>720.2</v>
      </c>
      <c r="T108" s="1">
        <f t="shared" si="185"/>
        <v>0</v>
      </c>
      <c r="U108" s="1">
        <f t="shared" si="150"/>
        <v>245.9</v>
      </c>
      <c r="V108" s="1">
        <f t="shared" si="179"/>
        <v>245.9</v>
      </c>
      <c r="W108" s="1">
        <f t="shared" si="180"/>
        <v>0</v>
      </c>
      <c r="X108" s="1">
        <f>IF(ISNA(VLOOKUP($CZ108,'Audit Values'!$A$2:$AE$439,2,FALSE)),'Preliminary SO66'!D105,VLOOKUP($CZ108,'Audit Values'!$A$2:$AE$439,4,FALSE))</f>
        <v>191.7</v>
      </c>
      <c r="Y108" s="1">
        <f>ROUND((X108/6)*Weightings!$M$6,1)</f>
        <v>16</v>
      </c>
      <c r="Z108" s="1">
        <f>IF(ISNA(VLOOKUP($CZ108,'Audit Values'!$A$2:$AE$439,2,FALSE)),'Preliminary SO66'!F105,VLOOKUP($CZ108,'Audit Values'!$A$2:$AE$439,6,FALSE))</f>
        <v>0</v>
      </c>
      <c r="AA108" s="1">
        <f>ROUND((Z108/6)*Weightings!$M$7,1)</f>
        <v>0</v>
      </c>
      <c r="AB108" s="2">
        <f>IF(ISNA(VLOOKUP($CZ108,'Audit Values'!$A$2:$AE$439,2,FALSE)),'Preliminary SO66'!H105,VLOOKUP($CZ108,'Audit Values'!$A$2:$AE$439,8,FALSE))</f>
        <v>124</v>
      </c>
      <c r="AC108" s="1">
        <f>ROUND(AB108*Weightings!$M$8,1)</f>
        <v>56.5</v>
      </c>
      <c r="AD108" s="1">
        <f t="shared" si="169"/>
        <v>0</v>
      </c>
      <c r="AE108" s="185">
        <v>84</v>
      </c>
      <c r="AF108" s="1">
        <f>AE108*Weightings!$M$9</f>
        <v>3.9</v>
      </c>
      <c r="AG108" s="1">
        <f>IF(ISNA(VLOOKUP($CZ108,'Audit Values'!$A$2:$AE$439,2,FALSE)),'Preliminary SO66'!L105,VLOOKUP($CZ108,'Audit Values'!$A$2:$AE$439,12,FALSE))</f>
        <v>0</v>
      </c>
      <c r="AH108" s="1">
        <f>ROUND(AG108*Weightings!$M$10,1)</f>
        <v>0</v>
      </c>
      <c r="AI108" s="1">
        <f>IF(ISNA(VLOOKUP($CZ108,'Audit Values'!$A$2:$AE$439,2,FALSE)),'Preliminary SO66'!O105,VLOOKUP($CZ108,'Audit Values'!$A$2:$AE$439,15,FALSE))</f>
        <v>450</v>
      </c>
      <c r="AJ108" s="1">
        <f t="shared" si="151"/>
        <v>99.5</v>
      </c>
      <c r="AK108" s="1">
        <f>CC108/Weightings!$M$5</f>
        <v>0</v>
      </c>
      <c r="AL108" s="1">
        <f>CD108/Weightings!$M$5</f>
        <v>0</v>
      </c>
      <c r="AM108" s="1">
        <f>CH108/Weightings!$M$5</f>
        <v>0</v>
      </c>
      <c r="AN108" s="1">
        <f t="shared" si="181"/>
        <v>0</v>
      </c>
      <c r="AO108" s="1">
        <f>IF(ISNA(VLOOKUP($CZ108,'Audit Values'!$A$2:$AE$439,2,FALSE)),'Preliminary SO66'!X105,VLOOKUP($CZ108,'Audit Values'!$A$2:$AE$439,24,FALSE))</f>
        <v>0</v>
      </c>
      <c r="AP108" s="188">
        <v>644643</v>
      </c>
      <c r="AQ108" s="113">
        <f>AP108/Weightings!$M$5</f>
        <v>168</v>
      </c>
      <c r="AR108" s="113">
        <f t="shared" si="152"/>
        <v>1142</v>
      </c>
      <c r="AS108" s="1">
        <f t="shared" si="153"/>
        <v>1310</v>
      </c>
      <c r="AT108" s="1">
        <f t="shared" si="154"/>
        <v>1310</v>
      </c>
      <c r="AU108" s="2">
        <f t="shared" si="170"/>
        <v>0</v>
      </c>
      <c r="AV108" s="82">
        <f>IF(ISNA(VLOOKUP($CZ108,'Audit Values'!$A$2:$AC$360,2,FALSE)),"",IF(AND(Weightings!H108&gt;0,VLOOKUP($CZ108,'Audit Values'!$A$2:$AC$360,29,FALSE)&lt;Weightings!H108),Weightings!H108,VLOOKUP($CZ108,'Audit Values'!$A$2:$AC$360,29,FALSE)))</f>
        <v>10</v>
      </c>
      <c r="AW108" s="82" t="str">
        <f>IF(ISNA(VLOOKUP($CZ108,'Audit Values'!$A$2:$AD$360,2,FALSE)),"",VLOOKUP($CZ108,'Audit Values'!$A$2:$AD$360,30,FALSE))</f>
        <v>A</v>
      </c>
      <c r="AX108" s="82" t="str">
        <f>IF(Weightings!G108="","",IF(Weightings!I108="Pending","PX","R"))</f>
        <v>R</v>
      </c>
      <c r="AY108" s="114">
        <f>AR108*Weightings!$M$5+AU108</f>
        <v>4382996</v>
      </c>
      <c r="AZ108" s="2">
        <f>AT108*Weightings!$M$5+AU108</f>
        <v>5027780</v>
      </c>
      <c r="BA108" s="2">
        <f>IF(Weightings!G108&gt;0,Weightings!G108,'Preliminary SO66'!AB105)</f>
        <v>5088420</v>
      </c>
      <c r="BB108" s="2">
        <f t="shared" si="155"/>
        <v>5027780</v>
      </c>
      <c r="BC108" s="124"/>
      <c r="BD108" s="124">
        <f>Weightings!E108</f>
        <v>0</v>
      </c>
      <c r="BE108" s="124">
        <f>Weightings!F108</f>
        <v>0</v>
      </c>
      <c r="BF108" s="2">
        <f t="shared" si="156"/>
        <v>0</v>
      </c>
      <c r="BG108" s="2">
        <f t="shared" si="157"/>
        <v>5027780</v>
      </c>
      <c r="BH108" s="2">
        <f>MAX(ROUND(((AR108-AO108)*4433)+AP108,0),ROUND(((AR108-AO108)*4433)+Weightings!B108,0))</f>
        <v>5707129</v>
      </c>
      <c r="BI108" s="174">
        <v>0.3</v>
      </c>
      <c r="BJ108" s="2">
        <f t="shared" si="188"/>
        <v>1712139</v>
      </c>
      <c r="BK108" s="173">
        <v>1423645</v>
      </c>
      <c r="BL108" s="2">
        <f t="shared" si="158"/>
        <v>1423645</v>
      </c>
      <c r="BM108" s="3">
        <f t="shared" si="171"/>
        <v>0.2495</v>
      </c>
      <c r="BN108" s="1">
        <f t="shared" si="159"/>
        <v>0</v>
      </c>
      <c r="BO108" s="4" t="b">
        <f t="shared" si="160"/>
        <v>0</v>
      </c>
      <c r="BP108" s="5">
        <f t="shared" si="161"/>
        <v>0</v>
      </c>
      <c r="BQ108" s="6">
        <f t="shared" si="140"/>
        <v>0</v>
      </c>
      <c r="BR108" s="4">
        <f t="shared" si="162"/>
        <v>0</v>
      </c>
      <c r="BS108" s="4" t="b">
        <f t="shared" si="163"/>
        <v>1</v>
      </c>
      <c r="BT108" s="4">
        <f t="shared" si="164"/>
        <v>519.99749999999995</v>
      </c>
      <c r="BU108" s="6">
        <f t="shared" si="141"/>
        <v>0.34142400000000001</v>
      </c>
      <c r="BV108" s="1">
        <f t="shared" si="165"/>
        <v>245.9</v>
      </c>
      <c r="BW108" s="1">
        <f t="shared" si="166"/>
        <v>0</v>
      </c>
      <c r="BX108" s="116">
        <v>217.5</v>
      </c>
      <c r="BY108" s="7">
        <f t="shared" si="172"/>
        <v>2.0699999999999998</v>
      </c>
      <c r="BZ108" s="7">
        <f>IF(ROUND((Weightings!$P$5*BY108^Weightings!$P$6*Weightings!$P$8 ),2)&lt;Weightings!$P$7,Weightings!$P$7,ROUND((Weightings!$P$5*BY108^Weightings!$P$6*Weightings!$P$8 ),2))</f>
        <v>848.99</v>
      </c>
      <c r="CA108" s="8">
        <f>ROUND(BZ108/Weightings!$M$5,4)</f>
        <v>0.22120000000000001</v>
      </c>
      <c r="CB108" s="1">
        <f t="shared" si="173"/>
        <v>99.5</v>
      </c>
      <c r="CC108" s="173">
        <v>0</v>
      </c>
      <c r="CD108" s="173">
        <v>0</v>
      </c>
      <c r="CE108" s="173">
        <v>0</v>
      </c>
      <c r="CF108" s="177">
        <v>0</v>
      </c>
      <c r="CG108" s="2">
        <f>AS108*Weightings!$M$5*CF108</f>
        <v>0</v>
      </c>
      <c r="CH108" s="2">
        <f t="shared" si="174"/>
        <v>0</v>
      </c>
      <c r="CI108" s="117">
        <f t="shared" si="167"/>
        <v>0.17199999999999999</v>
      </c>
      <c r="CJ108" s="4">
        <f t="shared" si="168"/>
        <v>3.3</v>
      </c>
      <c r="CK108" s="1">
        <f t="shared" si="175"/>
        <v>0</v>
      </c>
      <c r="CL108" s="1">
        <f t="shared" si="176"/>
        <v>0</v>
      </c>
      <c r="CM108" s="1">
        <f t="shared" si="177"/>
        <v>0</v>
      </c>
      <c r="CN108" s="1">
        <f>IF(ISNA(VLOOKUP($CZ108,'Audit Values'!$A$2:$AE$439,2,FALSE)),'Preliminary SO66'!T105,VLOOKUP($CZ108,'Audit Values'!$A$2:$AE$439,20,FALSE))</f>
        <v>0</v>
      </c>
      <c r="CO108" s="1">
        <f t="shared" si="182"/>
        <v>0</v>
      </c>
      <c r="CP108" s="183">
        <v>0</v>
      </c>
      <c r="CQ108" s="1">
        <f t="shared" si="183"/>
        <v>0</v>
      </c>
      <c r="CR108" s="2">
        <f>IF(ISNA(VLOOKUP($CZ108,'Audit Values'!$A$2:$AE$439,2,FALSE)),'Preliminary SO66'!V105,VLOOKUP($CZ108,'Audit Values'!$A$2:$AE$439,22,FALSE))</f>
        <v>0</v>
      </c>
      <c r="CS108" s="1">
        <f t="shared" si="184"/>
        <v>0</v>
      </c>
      <c r="CT108" s="2">
        <f>IF(ISNA(VLOOKUP($CZ108,'Audit Values'!$A$2:$AE$439,2,FALSE)),'Preliminary SO66'!W105,VLOOKUP($CZ108,'Audit Values'!$A$2:$AE$439,23,FALSE))</f>
        <v>0</v>
      </c>
      <c r="CU108" s="1">
        <f t="shared" si="189"/>
        <v>0</v>
      </c>
      <c r="CV108" s="1">
        <f t="shared" si="190"/>
        <v>0</v>
      </c>
      <c r="CW108" s="176">
        <v>0</v>
      </c>
      <c r="CX108" s="2">
        <f>IF(CW108&gt;0,Weightings!$M$11*AR108,0)</f>
        <v>0</v>
      </c>
      <c r="CY108" s="2">
        <f t="shared" si="178"/>
        <v>0</v>
      </c>
      <c r="CZ108" s="108" t="s">
        <v>400</v>
      </c>
    </row>
    <row r="109" spans="1:104">
      <c r="A109" s="82">
        <v>307</v>
      </c>
      <c r="B109" s="4" t="s">
        <v>50</v>
      </c>
      <c r="C109" s="4" t="s">
        <v>736</v>
      </c>
      <c r="D109" s="1">
        <v>469</v>
      </c>
      <c r="E109" s="1">
        <v>0</v>
      </c>
      <c r="F109" s="1">
        <f t="shared" si="187"/>
        <v>469</v>
      </c>
      <c r="G109" s="1">
        <v>482.9</v>
      </c>
      <c r="H109" s="1">
        <v>0</v>
      </c>
      <c r="I109" s="1">
        <f t="shared" si="142"/>
        <v>482.9</v>
      </c>
      <c r="J109" s="1">
        <f t="shared" si="143"/>
        <v>490.2</v>
      </c>
      <c r="K109" s="1">
        <f>IF(ISNA(VLOOKUP($CZ109,'Audit Values'!$A$2:$AE$439,2,FALSE)),'Preliminary SO66'!B106,VLOOKUP($CZ109,'Audit Values'!$A$2:$AE$439,31,FALSE))</f>
        <v>489.2</v>
      </c>
      <c r="L109" s="1">
        <f t="shared" si="144"/>
        <v>489.2</v>
      </c>
      <c r="M109" s="1">
        <f>IF(ISNA(VLOOKUP($CZ109,'Audit Values'!$A$2:$AE$439,2,FALSE)),'Preliminary SO66'!Z106,VLOOKUP($CZ109,'Audit Values'!$A$2:$AE$439,26,FALSE))</f>
        <v>0</v>
      </c>
      <c r="N109" s="1">
        <f t="shared" si="145"/>
        <v>489.2</v>
      </c>
      <c r="O109" s="1">
        <f>IF(ISNA(VLOOKUP($CZ109,'Audit Values'!$A$2:$AE$439,2,FALSE)),'Preliminary SO66'!C106,IF(VLOOKUP($CZ109,'Audit Values'!$A$2:$AE$439,28,FALSE)="",VLOOKUP($CZ109,'Audit Values'!$A$2:$AE$439,3,FALSE),VLOOKUP($CZ109,'Audit Values'!$A$2:$AE$439,28,FALSE)))</f>
        <v>0</v>
      </c>
      <c r="P109" s="109">
        <f t="shared" si="146"/>
        <v>489.2</v>
      </c>
      <c r="Q109" s="110">
        <f t="shared" si="147"/>
        <v>490.2</v>
      </c>
      <c r="R109" s="111">
        <f t="shared" si="148"/>
        <v>490.2</v>
      </c>
      <c r="S109" s="1">
        <f t="shared" si="149"/>
        <v>489.2</v>
      </c>
      <c r="T109" s="1">
        <f t="shared" si="185"/>
        <v>1</v>
      </c>
      <c r="U109" s="1">
        <f t="shared" si="150"/>
        <v>205.4</v>
      </c>
      <c r="V109" s="1">
        <f t="shared" si="179"/>
        <v>205.4</v>
      </c>
      <c r="W109" s="1">
        <f t="shared" si="180"/>
        <v>0</v>
      </c>
      <c r="X109" s="1">
        <f>IF(ISNA(VLOOKUP($CZ109,'Audit Values'!$A$2:$AE$439,2,FALSE)),'Preliminary SO66'!D106,VLOOKUP($CZ109,'Audit Values'!$A$2:$AE$439,4,FALSE))</f>
        <v>116.3</v>
      </c>
      <c r="Y109" s="1">
        <f>ROUND((X109/6)*Weightings!$M$6,1)</f>
        <v>9.6999999999999993</v>
      </c>
      <c r="Z109" s="1">
        <f>IF(ISNA(VLOOKUP($CZ109,'Audit Values'!$A$2:$AE$439,2,FALSE)),'Preliminary SO66'!F106,VLOOKUP($CZ109,'Audit Values'!$A$2:$AE$439,6,FALSE))</f>
        <v>18.5</v>
      </c>
      <c r="AA109" s="1">
        <f>ROUND((Z109/6)*Weightings!$M$7,1)</f>
        <v>1.2</v>
      </c>
      <c r="AB109" s="2">
        <f>IF(ISNA(VLOOKUP($CZ109,'Audit Values'!$A$2:$AE$439,2,FALSE)),'Preliminary SO66'!H106,VLOOKUP($CZ109,'Audit Values'!$A$2:$AE$439,8,FALSE))</f>
        <v>151</v>
      </c>
      <c r="AC109" s="1">
        <f>ROUND(AB109*Weightings!$M$8,1)</f>
        <v>68.900000000000006</v>
      </c>
      <c r="AD109" s="1">
        <f t="shared" si="169"/>
        <v>0</v>
      </c>
      <c r="AE109" s="185">
        <v>53</v>
      </c>
      <c r="AF109" s="1">
        <f>AE109*Weightings!$M$9</f>
        <v>2.5</v>
      </c>
      <c r="AG109" s="1">
        <f>IF(ISNA(VLOOKUP($CZ109,'Audit Values'!$A$2:$AE$439,2,FALSE)),'Preliminary SO66'!L106,VLOOKUP($CZ109,'Audit Values'!$A$2:$AE$439,12,FALSE))</f>
        <v>0</v>
      </c>
      <c r="AH109" s="1">
        <f>ROUND(AG109*Weightings!$M$10,1)</f>
        <v>0</v>
      </c>
      <c r="AI109" s="1">
        <f>IF(ISNA(VLOOKUP($CZ109,'Audit Values'!$A$2:$AE$439,2,FALSE)),'Preliminary SO66'!O106,VLOOKUP($CZ109,'Audit Values'!$A$2:$AE$439,15,FALSE))</f>
        <v>227</v>
      </c>
      <c r="AJ109" s="1">
        <f t="shared" si="151"/>
        <v>59.1</v>
      </c>
      <c r="AK109" s="1">
        <f>CC109/Weightings!$M$5</f>
        <v>0</v>
      </c>
      <c r="AL109" s="1">
        <f>CD109/Weightings!$M$5</f>
        <v>0</v>
      </c>
      <c r="AM109" s="1">
        <f>CH109/Weightings!$M$5</f>
        <v>0</v>
      </c>
      <c r="AN109" s="1">
        <f t="shared" si="181"/>
        <v>1.1000000000000001</v>
      </c>
      <c r="AO109" s="1">
        <f>IF(ISNA(VLOOKUP($CZ109,'Audit Values'!$A$2:$AE$439,2,FALSE)),'Preliminary SO66'!X106,VLOOKUP($CZ109,'Audit Values'!$A$2:$AE$439,24,FALSE))</f>
        <v>0</v>
      </c>
      <c r="AP109" s="188">
        <v>453031</v>
      </c>
      <c r="AQ109" s="113">
        <f>AP109/Weightings!$M$5</f>
        <v>118</v>
      </c>
      <c r="AR109" s="113">
        <f t="shared" si="152"/>
        <v>837.1</v>
      </c>
      <c r="AS109" s="1">
        <f t="shared" si="153"/>
        <v>955.1</v>
      </c>
      <c r="AT109" s="1">
        <f t="shared" si="154"/>
        <v>955.1</v>
      </c>
      <c r="AU109" s="2">
        <f t="shared" si="170"/>
        <v>0</v>
      </c>
      <c r="AV109" s="82">
        <f>IF(ISNA(VLOOKUP($CZ109,'Audit Values'!$A$2:$AC$360,2,FALSE)),"",IF(AND(Weightings!H109&gt;0,VLOOKUP($CZ109,'Audit Values'!$A$2:$AC$360,29,FALSE)&lt;Weightings!H109),Weightings!H109,VLOOKUP($CZ109,'Audit Values'!$A$2:$AC$360,29,FALSE)))</f>
        <v>16</v>
      </c>
      <c r="AW109" s="82" t="str">
        <f>IF(ISNA(VLOOKUP($CZ109,'Audit Values'!$A$2:$AD$360,2,FALSE)),"",VLOOKUP($CZ109,'Audit Values'!$A$2:$AD$360,30,FALSE))</f>
        <v>A</v>
      </c>
      <c r="AX109" s="82" t="str">
        <f>IF(Weightings!G109="","",IF(Weightings!I109="Pending","PX","R"))</f>
        <v>R</v>
      </c>
      <c r="AY109" s="114">
        <f>AR109*Weightings!$M$5+AU109</f>
        <v>3212790</v>
      </c>
      <c r="AZ109" s="2">
        <f>AT109*Weightings!$M$5+AU109</f>
        <v>3665674</v>
      </c>
      <c r="BA109" s="2">
        <f>IF(Weightings!G109&gt;0,Weightings!G109,'Preliminary SO66'!AB106)</f>
        <v>3700216</v>
      </c>
      <c r="BB109" s="2">
        <f t="shared" si="155"/>
        <v>3665674</v>
      </c>
      <c r="BC109" s="124"/>
      <c r="BD109" s="124">
        <f>Weightings!E109</f>
        <v>0</v>
      </c>
      <c r="BE109" s="124">
        <f>Weightings!F109</f>
        <v>0</v>
      </c>
      <c r="BF109" s="2">
        <f t="shared" si="156"/>
        <v>0</v>
      </c>
      <c r="BG109" s="2">
        <f t="shared" si="157"/>
        <v>3665674</v>
      </c>
      <c r="BH109" s="2">
        <f>MAX(ROUND(((AR109-AO109)*4433)+AP109,0),ROUND(((AR109-AO109)*4433)+Weightings!B109,0))</f>
        <v>4163895</v>
      </c>
      <c r="BI109" s="174">
        <v>0.3</v>
      </c>
      <c r="BJ109" s="2">
        <f t="shared" si="188"/>
        <v>1249169</v>
      </c>
      <c r="BK109" s="173">
        <v>1244875</v>
      </c>
      <c r="BL109" s="2">
        <f t="shared" si="158"/>
        <v>1244875</v>
      </c>
      <c r="BM109" s="3">
        <f t="shared" si="171"/>
        <v>0.29899999999999999</v>
      </c>
      <c r="BN109" s="1">
        <f t="shared" si="159"/>
        <v>0</v>
      </c>
      <c r="BO109" s="4" t="b">
        <f t="shared" si="160"/>
        <v>0</v>
      </c>
      <c r="BP109" s="5">
        <f t="shared" si="161"/>
        <v>0</v>
      </c>
      <c r="BQ109" s="6">
        <f t="shared" si="140"/>
        <v>0</v>
      </c>
      <c r="BR109" s="4">
        <f t="shared" si="162"/>
        <v>0</v>
      </c>
      <c r="BS109" s="4" t="b">
        <f t="shared" si="163"/>
        <v>1</v>
      </c>
      <c r="BT109" s="4">
        <f t="shared" si="164"/>
        <v>234.13499999999999</v>
      </c>
      <c r="BU109" s="6">
        <f t="shared" si="141"/>
        <v>0.419906</v>
      </c>
      <c r="BV109" s="1">
        <f t="shared" si="165"/>
        <v>205.4</v>
      </c>
      <c r="BW109" s="1">
        <f t="shared" si="166"/>
        <v>0</v>
      </c>
      <c r="BX109" s="116">
        <v>225</v>
      </c>
      <c r="BY109" s="7">
        <f t="shared" si="172"/>
        <v>1.01</v>
      </c>
      <c r="BZ109" s="7">
        <f>IF(ROUND((Weightings!$P$5*BY109^Weightings!$P$6*Weightings!$P$8 ),2)&lt;Weightings!$P$7,Weightings!$P$7,ROUND((Weightings!$P$5*BY109^Weightings!$P$6*Weightings!$P$8 ),2))</f>
        <v>999.97</v>
      </c>
      <c r="CA109" s="8">
        <f>ROUND(BZ109/Weightings!$M$5,4)</f>
        <v>0.26050000000000001</v>
      </c>
      <c r="CB109" s="1">
        <f t="shared" si="173"/>
        <v>59.1</v>
      </c>
      <c r="CC109" s="173">
        <v>0</v>
      </c>
      <c r="CD109" s="173">
        <v>0</v>
      </c>
      <c r="CE109" s="173">
        <v>0</v>
      </c>
      <c r="CF109" s="177">
        <v>0</v>
      </c>
      <c r="CG109" s="2">
        <f>AS109*Weightings!$M$5*CF109</f>
        <v>0</v>
      </c>
      <c r="CH109" s="2">
        <f t="shared" si="174"/>
        <v>0</v>
      </c>
      <c r="CI109" s="117">
        <f t="shared" si="167"/>
        <v>0.309</v>
      </c>
      <c r="CJ109" s="4">
        <f t="shared" si="168"/>
        <v>2.2000000000000002</v>
      </c>
      <c r="CK109" s="1">
        <f t="shared" si="175"/>
        <v>0</v>
      </c>
      <c r="CL109" s="1">
        <f t="shared" si="176"/>
        <v>0</v>
      </c>
      <c r="CM109" s="1">
        <f t="shared" si="177"/>
        <v>0</v>
      </c>
      <c r="CN109" s="1">
        <f>IF(ISNA(VLOOKUP($CZ109,'Audit Values'!$A$2:$AE$439,2,FALSE)),'Preliminary SO66'!T106,VLOOKUP($CZ109,'Audit Values'!$A$2:$AE$439,20,FALSE))</f>
        <v>1</v>
      </c>
      <c r="CO109" s="1">
        <f t="shared" si="182"/>
        <v>1.1000000000000001</v>
      </c>
      <c r="CP109" s="183">
        <v>0</v>
      </c>
      <c r="CQ109" s="1">
        <f t="shared" si="183"/>
        <v>0</v>
      </c>
      <c r="CR109" s="2">
        <f>IF(ISNA(VLOOKUP($CZ109,'Audit Values'!$A$2:$AE$439,2,FALSE)),'Preliminary SO66'!V106,VLOOKUP($CZ109,'Audit Values'!$A$2:$AE$439,22,FALSE))</f>
        <v>0</v>
      </c>
      <c r="CS109" s="1">
        <f t="shared" si="184"/>
        <v>0</v>
      </c>
      <c r="CT109" s="2">
        <f>IF(ISNA(VLOOKUP($CZ109,'Audit Values'!$A$2:$AE$439,2,FALSE)),'Preliminary SO66'!W106,VLOOKUP($CZ109,'Audit Values'!$A$2:$AE$439,23,FALSE))</f>
        <v>0</v>
      </c>
      <c r="CU109" s="1">
        <f t="shared" si="189"/>
        <v>0</v>
      </c>
      <c r="CV109" s="1">
        <f t="shared" si="190"/>
        <v>1.1000000000000001</v>
      </c>
      <c r="CW109" s="176">
        <v>0</v>
      </c>
      <c r="CX109" s="2">
        <f>IF(CW109&gt;0,Weightings!$M$11*AR109,0)</f>
        <v>0</v>
      </c>
      <c r="CY109" s="2">
        <f t="shared" si="178"/>
        <v>0</v>
      </c>
      <c r="CZ109" s="108" t="s">
        <v>401</v>
      </c>
    </row>
    <row r="110" spans="1:104">
      <c r="A110" s="82">
        <v>308</v>
      </c>
      <c r="B110" s="4" t="s">
        <v>51</v>
      </c>
      <c r="C110" s="4" t="s">
        <v>737</v>
      </c>
      <c r="D110" s="1">
        <v>4781</v>
      </c>
      <c r="E110" s="1">
        <v>0</v>
      </c>
      <c r="F110" s="1">
        <f t="shared" si="187"/>
        <v>4781</v>
      </c>
      <c r="G110" s="1">
        <v>4800.2</v>
      </c>
      <c r="H110" s="1">
        <v>0</v>
      </c>
      <c r="I110" s="1">
        <f t="shared" si="142"/>
        <v>4800.2</v>
      </c>
      <c r="J110" s="1">
        <f t="shared" si="143"/>
        <v>4864.5</v>
      </c>
      <c r="K110" s="1">
        <f>IF(ISNA(VLOOKUP($CZ110,'Audit Values'!$A$2:$AE$439,2,FALSE)),'Preliminary SO66'!B107,VLOOKUP($CZ110,'Audit Values'!$A$2:$AE$439,31,FALSE))</f>
        <v>4852.5</v>
      </c>
      <c r="L110" s="1">
        <f t="shared" si="144"/>
        <v>4852.5</v>
      </c>
      <c r="M110" s="1">
        <f>IF(ISNA(VLOOKUP($CZ110,'Audit Values'!$A$2:$AE$439,2,FALSE)),'Preliminary SO66'!Z107,VLOOKUP($CZ110,'Audit Values'!$A$2:$AE$439,26,FALSE))</f>
        <v>0</v>
      </c>
      <c r="N110" s="1">
        <f t="shared" si="145"/>
        <v>4852.5</v>
      </c>
      <c r="O110" s="1">
        <f>IF(ISNA(VLOOKUP($CZ110,'Audit Values'!$A$2:$AE$439,2,FALSE)),'Preliminary SO66'!C107,IF(VLOOKUP($CZ110,'Audit Values'!$A$2:$AE$439,28,FALSE)="",VLOOKUP($CZ110,'Audit Values'!$A$2:$AE$439,3,FALSE),VLOOKUP($CZ110,'Audit Values'!$A$2:$AE$439,28,FALSE)))</f>
        <v>28</v>
      </c>
      <c r="P110" s="109">
        <f t="shared" si="146"/>
        <v>4880.5</v>
      </c>
      <c r="Q110" s="110">
        <f t="shared" si="147"/>
        <v>4892.5</v>
      </c>
      <c r="R110" s="111">
        <f t="shared" si="148"/>
        <v>4892.5</v>
      </c>
      <c r="S110" s="1">
        <f t="shared" si="149"/>
        <v>4880.5</v>
      </c>
      <c r="T110" s="1">
        <f t="shared" si="185"/>
        <v>12</v>
      </c>
      <c r="U110" s="1">
        <f t="shared" si="150"/>
        <v>171</v>
      </c>
      <c r="V110" s="1">
        <f t="shared" si="179"/>
        <v>0</v>
      </c>
      <c r="W110" s="1">
        <f t="shared" si="180"/>
        <v>171</v>
      </c>
      <c r="X110" s="1">
        <f>IF(ISNA(VLOOKUP($CZ110,'Audit Values'!$A$2:$AE$439,2,FALSE)),'Preliminary SO66'!D107,VLOOKUP($CZ110,'Audit Values'!$A$2:$AE$439,4,FALSE))</f>
        <v>1159</v>
      </c>
      <c r="Y110" s="1">
        <f>ROUND((X110/6)*Weightings!$M$6,1)</f>
        <v>96.6</v>
      </c>
      <c r="Z110" s="1">
        <f>IF(ISNA(VLOOKUP($CZ110,'Audit Values'!$A$2:$AE$439,2,FALSE)),'Preliminary SO66'!F107,VLOOKUP($CZ110,'Audit Values'!$A$2:$AE$439,6,FALSE))</f>
        <v>782.2</v>
      </c>
      <c r="AA110" s="1">
        <f>ROUND((Z110/6)*Weightings!$M$7,1)</f>
        <v>51.5</v>
      </c>
      <c r="AB110" s="2">
        <f>IF(ISNA(VLOOKUP($CZ110,'Audit Values'!$A$2:$AE$439,2,FALSE)),'Preliminary SO66'!H107,VLOOKUP($CZ110,'Audit Values'!$A$2:$AE$439,8,FALSE))</f>
        <v>2856</v>
      </c>
      <c r="AC110" s="1">
        <f>ROUND(AB110*Weightings!$M$8,1)</f>
        <v>1302.3</v>
      </c>
      <c r="AD110" s="1">
        <f t="shared" si="169"/>
        <v>299.89999999999998</v>
      </c>
      <c r="AE110" s="185">
        <v>390</v>
      </c>
      <c r="AF110" s="1">
        <f>AE110*Weightings!$M$9</f>
        <v>18.100000000000001</v>
      </c>
      <c r="AG110" s="1">
        <f>IF(ISNA(VLOOKUP($CZ110,'Audit Values'!$A$2:$AE$439,2,FALSE)),'Preliminary SO66'!L107,VLOOKUP($CZ110,'Audit Values'!$A$2:$AE$439,12,FALSE))</f>
        <v>0</v>
      </c>
      <c r="AH110" s="1">
        <f>ROUND(AG110*Weightings!$M$10,1)</f>
        <v>0</v>
      </c>
      <c r="AI110" s="1">
        <f>IF(ISNA(VLOOKUP($CZ110,'Audit Values'!$A$2:$AE$439,2,FALSE)),'Preliminary SO66'!O107,VLOOKUP($CZ110,'Audit Values'!$A$2:$AE$439,15,FALSE))</f>
        <v>54.5</v>
      </c>
      <c r="AJ110" s="1">
        <f t="shared" si="151"/>
        <v>10.4</v>
      </c>
      <c r="AK110" s="1">
        <f>CC110/Weightings!$M$5</f>
        <v>0</v>
      </c>
      <c r="AL110" s="1">
        <f>CD110/Weightings!$M$5</f>
        <v>0</v>
      </c>
      <c r="AM110" s="1">
        <f>CH110/Weightings!$M$5</f>
        <v>0</v>
      </c>
      <c r="AN110" s="1">
        <f t="shared" si="181"/>
        <v>12.6</v>
      </c>
      <c r="AO110" s="1">
        <f>IF(ISNA(VLOOKUP($CZ110,'Audit Values'!$A$2:$AE$439,2,FALSE)),'Preliminary SO66'!X107,VLOOKUP($CZ110,'Audit Values'!$A$2:$AE$439,24,FALSE))</f>
        <v>0</v>
      </c>
      <c r="AP110" s="188">
        <v>4147370</v>
      </c>
      <c r="AQ110" s="113">
        <f>AP110/Weightings!$M$5</f>
        <v>1080.5999999999999</v>
      </c>
      <c r="AR110" s="113">
        <f t="shared" si="152"/>
        <v>6842.9</v>
      </c>
      <c r="AS110" s="1">
        <f t="shared" si="153"/>
        <v>7923.5</v>
      </c>
      <c r="AT110" s="1">
        <f t="shared" si="154"/>
        <v>7923.5</v>
      </c>
      <c r="AU110" s="2">
        <f t="shared" si="170"/>
        <v>380211</v>
      </c>
      <c r="AV110" s="82">
        <f>IF(ISNA(VLOOKUP($CZ110,'Audit Values'!$A$2:$AC$360,2,FALSE)),"",IF(AND(Weightings!H110&gt;0,VLOOKUP($CZ110,'Audit Values'!$A$2:$AC$360,29,FALSE)&lt;Weightings!H110),Weightings!H110,VLOOKUP($CZ110,'Audit Values'!$A$2:$AC$360,29,FALSE)))</f>
        <v>12</v>
      </c>
      <c r="AW110" s="82" t="str">
        <f>IF(ISNA(VLOOKUP($CZ110,'Audit Values'!$A$2:$AD$360,2,FALSE)),"",VLOOKUP($CZ110,'Audit Values'!$A$2:$AD$360,30,FALSE))</f>
        <v>A</v>
      </c>
      <c r="AX110" s="82" t="str">
        <f>IF(Weightings!G110="","",IF(Weightings!I110="Pending","PX","R"))</f>
        <v/>
      </c>
      <c r="AY110" s="114">
        <f>AR110*Weightings!$M$5+AU110</f>
        <v>26643261</v>
      </c>
      <c r="AZ110" s="2">
        <f>AT110*Weightings!$M$5+AU110</f>
        <v>30790604</v>
      </c>
      <c r="BA110" s="2">
        <f>IF(Weightings!G110&gt;0,Weightings!G110,'Preliminary SO66'!AB107)</f>
        <v>30915339</v>
      </c>
      <c r="BB110" s="2">
        <f t="shared" si="155"/>
        <v>30790604</v>
      </c>
      <c r="BC110" s="124"/>
      <c r="BD110" s="124">
        <f>Weightings!E110</f>
        <v>0</v>
      </c>
      <c r="BE110" s="124">
        <f>Weightings!F110</f>
        <v>0</v>
      </c>
      <c r="BF110" s="2">
        <f t="shared" si="156"/>
        <v>0</v>
      </c>
      <c r="BG110" s="2">
        <f t="shared" si="157"/>
        <v>30790604</v>
      </c>
      <c r="BH110" s="2">
        <f>MAX(ROUND(((AR110-AO110)*4433)+AP110,0),ROUND(((AR110-AO110)*4433)+Weightings!B110,0))</f>
        <v>34481946</v>
      </c>
      <c r="BI110" s="174">
        <v>0.3</v>
      </c>
      <c r="BJ110" s="2">
        <f t="shared" si="188"/>
        <v>10344584</v>
      </c>
      <c r="BK110" s="173">
        <v>9569401</v>
      </c>
      <c r="BL110" s="2">
        <f t="shared" si="158"/>
        <v>9569401</v>
      </c>
      <c r="BM110" s="3">
        <f t="shared" si="171"/>
        <v>0.27750000000000002</v>
      </c>
      <c r="BN110" s="1">
        <f t="shared" si="159"/>
        <v>0</v>
      </c>
      <c r="BO110" s="4" t="b">
        <f t="shared" si="160"/>
        <v>0</v>
      </c>
      <c r="BP110" s="5">
        <f t="shared" si="161"/>
        <v>0</v>
      </c>
      <c r="BQ110" s="6">
        <f t="shared" si="140"/>
        <v>0</v>
      </c>
      <c r="BR110" s="4">
        <f t="shared" si="162"/>
        <v>0</v>
      </c>
      <c r="BS110" s="4" t="b">
        <f t="shared" si="163"/>
        <v>0</v>
      </c>
      <c r="BT110" s="4">
        <f t="shared" si="164"/>
        <v>0</v>
      </c>
      <c r="BU110" s="6">
        <f t="shared" si="141"/>
        <v>0</v>
      </c>
      <c r="BV110" s="1">
        <f t="shared" si="165"/>
        <v>0</v>
      </c>
      <c r="BW110" s="1">
        <f t="shared" si="166"/>
        <v>171</v>
      </c>
      <c r="BX110" s="116">
        <v>14</v>
      </c>
      <c r="BY110" s="7">
        <f t="shared" si="172"/>
        <v>3.89</v>
      </c>
      <c r="BZ110" s="7">
        <f>IF(ROUND((Weightings!$P$5*BY110^Weightings!$P$6*Weightings!$P$8 ),2)&lt;Weightings!$P$7,Weightings!$P$7,ROUND((Weightings!$P$5*BY110^Weightings!$P$6*Weightings!$P$8 ),2))</f>
        <v>735.2</v>
      </c>
      <c r="CA110" s="8">
        <f>ROUND(BZ110/Weightings!$M$5,4)</f>
        <v>0.19159999999999999</v>
      </c>
      <c r="CB110" s="1">
        <f t="shared" si="173"/>
        <v>10.4</v>
      </c>
      <c r="CC110" s="173">
        <v>0</v>
      </c>
      <c r="CD110" s="173">
        <v>0</v>
      </c>
      <c r="CE110" s="173">
        <v>0</v>
      </c>
      <c r="CF110" s="177">
        <v>0</v>
      </c>
      <c r="CG110" s="2">
        <f>AS110*Weightings!$M$5*CF110</f>
        <v>0</v>
      </c>
      <c r="CH110" s="2">
        <f t="shared" si="174"/>
        <v>0</v>
      </c>
      <c r="CI110" s="117">
        <f t="shared" si="167"/>
        <v>0.58499999999999996</v>
      </c>
      <c r="CJ110" s="4">
        <f t="shared" si="168"/>
        <v>348.6</v>
      </c>
      <c r="CK110" s="1">
        <f t="shared" si="175"/>
        <v>299.89999999999998</v>
      </c>
      <c r="CL110" s="1">
        <f t="shared" si="176"/>
        <v>299.89999999999998</v>
      </c>
      <c r="CM110" s="1">
        <f t="shared" si="177"/>
        <v>0</v>
      </c>
      <c r="CN110" s="1">
        <f>IF(ISNA(VLOOKUP($CZ110,'Audit Values'!$A$2:$AE$439,2,FALSE)),'Preliminary SO66'!T107,VLOOKUP($CZ110,'Audit Values'!$A$2:$AE$439,20,FALSE))</f>
        <v>12</v>
      </c>
      <c r="CO110" s="1">
        <f t="shared" si="182"/>
        <v>12.6</v>
      </c>
      <c r="CP110" s="181">
        <v>0</v>
      </c>
      <c r="CQ110" s="1">
        <f t="shared" si="183"/>
        <v>0</v>
      </c>
      <c r="CR110" s="2">
        <f>IF(ISNA(VLOOKUP($CZ110,'Audit Values'!$A$2:$AE$439,2,FALSE)),'Preliminary SO66'!V107,VLOOKUP($CZ110,'Audit Values'!$A$2:$AE$439,22,FALSE))</f>
        <v>0</v>
      </c>
      <c r="CS110" s="1">
        <f t="shared" si="184"/>
        <v>0</v>
      </c>
      <c r="CT110" s="2">
        <f>IF(ISNA(VLOOKUP($CZ110,'Audit Values'!$A$2:$AE$439,2,FALSE)),'Preliminary SO66'!W107,VLOOKUP($CZ110,'Audit Values'!$A$2:$AE$439,23,FALSE))</f>
        <v>0</v>
      </c>
      <c r="CU110" s="1">
        <f t="shared" si="189"/>
        <v>0</v>
      </c>
      <c r="CV110" s="1">
        <f t="shared" si="190"/>
        <v>12.6</v>
      </c>
      <c r="CW110" s="176">
        <v>380211</v>
      </c>
      <c r="CX110" s="2">
        <f>IF(CW110&gt;0,Weightings!$M$11*AR110,0)</f>
        <v>1710725</v>
      </c>
      <c r="CY110" s="2">
        <f t="shared" si="178"/>
        <v>380211</v>
      </c>
      <c r="CZ110" s="108" t="s">
        <v>402</v>
      </c>
    </row>
    <row r="111" spans="1:104">
      <c r="A111" s="82">
        <v>309</v>
      </c>
      <c r="B111" s="4" t="s">
        <v>51</v>
      </c>
      <c r="C111" s="4" t="s">
        <v>738</v>
      </c>
      <c r="D111" s="1">
        <v>1086.0999999999999</v>
      </c>
      <c r="E111" s="1">
        <v>0</v>
      </c>
      <c r="F111" s="1">
        <f t="shared" si="187"/>
        <v>1086.0999999999999</v>
      </c>
      <c r="G111" s="1">
        <v>1090.0999999999999</v>
      </c>
      <c r="H111" s="1">
        <v>0</v>
      </c>
      <c r="I111" s="1">
        <f t="shared" si="142"/>
        <v>1090.0999999999999</v>
      </c>
      <c r="J111" s="1">
        <f t="shared" si="143"/>
        <v>1098.3</v>
      </c>
      <c r="K111" s="1">
        <f>IF(ISNA(VLOOKUP($CZ111,'Audit Values'!$A$2:$AE$439,2,FALSE)),'Preliminary SO66'!B108,VLOOKUP($CZ111,'Audit Values'!$A$2:$AE$439,31,FALSE))</f>
        <v>1098.3</v>
      </c>
      <c r="L111" s="1">
        <f t="shared" si="144"/>
        <v>1098.3</v>
      </c>
      <c r="M111" s="1">
        <f>IF(ISNA(VLOOKUP($CZ111,'Audit Values'!$A$2:$AE$439,2,FALSE)),'Preliminary SO66'!Z108,VLOOKUP($CZ111,'Audit Values'!$A$2:$AE$439,26,FALSE))</f>
        <v>0</v>
      </c>
      <c r="N111" s="1">
        <f t="shared" si="145"/>
        <v>1098.3</v>
      </c>
      <c r="O111" s="1">
        <f>IF(ISNA(VLOOKUP($CZ111,'Audit Values'!$A$2:$AE$439,2,FALSE)),'Preliminary SO66'!C108,IF(VLOOKUP($CZ111,'Audit Values'!$A$2:$AE$439,28,FALSE)="",VLOOKUP($CZ111,'Audit Values'!$A$2:$AE$439,3,FALSE),VLOOKUP($CZ111,'Audit Values'!$A$2:$AE$439,28,FALSE)))</f>
        <v>8</v>
      </c>
      <c r="P111" s="109">
        <f t="shared" si="146"/>
        <v>1106.3</v>
      </c>
      <c r="Q111" s="110">
        <f t="shared" si="147"/>
        <v>1106.3</v>
      </c>
      <c r="R111" s="111">
        <f t="shared" si="148"/>
        <v>1106.3</v>
      </c>
      <c r="S111" s="1">
        <f t="shared" si="149"/>
        <v>1106.3</v>
      </c>
      <c r="T111" s="1">
        <f t="shared" si="185"/>
        <v>0</v>
      </c>
      <c r="U111" s="1">
        <f t="shared" si="150"/>
        <v>232.6</v>
      </c>
      <c r="V111" s="1">
        <f t="shared" si="179"/>
        <v>232.6</v>
      </c>
      <c r="W111" s="1">
        <f t="shared" si="180"/>
        <v>0</v>
      </c>
      <c r="X111" s="1">
        <f>IF(ISNA(VLOOKUP($CZ111,'Audit Values'!$A$2:$AE$439,2,FALSE)),'Preliminary SO66'!D108,VLOOKUP($CZ111,'Audit Values'!$A$2:$AE$439,4,FALSE))</f>
        <v>191.1</v>
      </c>
      <c r="Y111" s="1">
        <f>ROUND((X111/6)*Weightings!$M$6,1)</f>
        <v>15.9</v>
      </c>
      <c r="Z111" s="1">
        <f>IF(ISNA(VLOOKUP($CZ111,'Audit Values'!$A$2:$AE$439,2,FALSE)),'Preliminary SO66'!F108,VLOOKUP($CZ111,'Audit Values'!$A$2:$AE$439,6,FALSE))</f>
        <v>90.7</v>
      </c>
      <c r="AA111" s="1">
        <f>ROUND((Z111/6)*Weightings!$M$7,1)</f>
        <v>6</v>
      </c>
      <c r="AB111" s="2">
        <f>IF(ISNA(VLOOKUP($CZ111,'Audit Values'!$A$2:$AE$439,2,FALSE)),'Preliminary SO66'!H108,VLOOKUP($CZ111,'Audit Values'!$A$2:$AE$439,8,FALSE))</f>
        <v>537</v>
      </c>
      <c r="AC111" s="1">
        <f>ROUND(AB111*Weightings!$M$8,1)</f>
        <v>244.9</v>
      </c>
      <c r="AD111" s="1">
        <f t="shared" si="169"/>
        <v>50.7</v>
      </c>
      <c r="AE111" s="185">
        <v>66</v>
      </c>
      <c r="AF111" s="1">
        <f>AE111*Weightings!$M$9</f>
        <v>3.1</v>
      </c>
      <c r="AG111" s="1">
        <f>IF(ISNA(VLOOKUP($CZ111,'Audit Values'!$A$2:$AE$439,2,FALSE)),'Preliminary SO66'!L108,VLOOKUP($CZ111,'Audit Values'!$A$2:$AE$439,12,FALSE))</f>
        <v>0</v>
      </c>
      <c r="AH111" s="1">
        <f>ROUND(AG111*Weightings!$M$10,1)</f>
        <v>0</v>
      </c>
      <c r="AI111" s="1">
        <f>IF(ISNA(VLOOKUP($CZ111,'Audit Values'!$A$2:$AE$439,2,FALSE)),'Preliminary SO66'!O108,VLOOKUP($CZ111,'Audit Values'!$A$2:$AE$439,15,FALSE))</f>
        <v>476.5</v>
      </c>
      <c r="AJ111" s="1">
        <f t="shared" si="151"/>
        <v>100.6</v>
      </c>
      <c r="AK111" s="1">
        <f>CC111/Weightings!$M$5</f>
        <v>0</v>
      </c>
      <c r="AL111" s="1">
        <f>CD111/Weightings!$M$5</f>
        <v>0</v>
      </c>
      <c r="AM111" s="1">
        <f>CH111/Weightings!$M$5</f>
        <v>0</v>
      </c>
      <c r="AN111" s="1">
        <f t="shared" si="181"/>
        <v>0</v>
      </c>
      <c r="AO111" s="1">
        <f>IF(ISNA(VLOOKUP($CZ111,'Audit Values'!$A$2:$AE$439,2,FALSE)),'Preliminary SO66'!X108,VLOOKUP($CZ111,'Audit Values'!$A$2:$AE$439,24,FALSE))</f>
        <v>1</v>
      </c>
      <c r="AP111" s="188">
        <v>1240693</v>
      </c>
      <c r="AQ111" s="113">
        <f>AP111/Weightings!$M$5</f>
        <v>323.3</v>
      </c>
      <c r="AR111" s="113">
        <f t="shared" si="152"/>
        <v>1761.1</v>
      </c>
      <c r="AS111" s="1">
        <f t="shared" si="153"/>
        <v>2084.4</v>
      </c>
      <c r="AT111" s="1">
        <f t="shared" si="154"/>
        <v>2084.4</v>
      </c>
      <c r="AU111" s="2">
        <f t="shared" si="170"/>
        <v>0</v>
      </c>
      <c r="AV111" s="82">
        <f>IF(ISNA(VLOOKUP($CZ111,'Audit Values'!$A$2:$AC$360,2,FALSE)),"",IF(AND(Weightings!H111&gt;0,VLOOKUP($CZ111,'Audit Values'!$A$2:$AC$360,29,FALSE)&lt;Weightings!H111),Weightings!H111,VLOOKUP($CZ111,'Audit Values'!$A$2:$AC$360,29,FALSE)))</f>
        <v>8</v>
      </c>
      <c r="AW111" s="82" t="str">
        <f>IF(ISNA(VLOOKUP($CZ111,'Audit Values'!$A$2:$AD$360,2,FALSE)),"",VLOOKUP($CZ111,'Audit Values'!$A$2:$AD$360,30,FALSE))</f>
        <v>A</v>
      </c>
      <c r="AX111" s="82" t="str">
        <f>IF(Weightings!G111="","",IF(Weightings!I111="Pending","PX","R"))</f>
        <v/>
      </c>
      <c r="AY111" s="114">
        <f>AR111*Weightings!$M$5+AU111</f>
        <v>6759102</v>
      </c>
      <c r="AZ111" s="2">
        <f>AT111*Weightings!$M$5+AU111</f>
        <v>7999927</v>
      </c>
      <c r="BA111" s="2">
        <f>IF(Weightings!G111&gt;0,Weightings!G111,'Preliminary SO66'!AB108)</f>
        <v>8078606</v>
      </c>
      <c r="BB111" s="2">
        <f t="shared" si="155"/>
        <v>7999927</v>
      </c>
      <c r="BC111" s="124"/>
      <c r="BD111" s="124">
        <f>Weightings!E111</f>
        <v>0</v>
      </c>
      <c r="BE111" s="124">
        <f>Weightings!F111</f>
        <v>0</v>
      </c>
      <c r="BF111" s="2">
        <f t="shared" si="156"/>
        <v>0</v>
      </c>
      <c r="BG111" s="2">
        <f t="shared" si="157"/>
        <v>7999927</v>
      </c>
      <c r="BH111" s="2">
        <f>MAX(ROUND(((AR111-AO111)*4433)+AP111,0),ROUND(((AR111-AO111)*4433)+Weightings!B111,0))</f>
        <v>9043216</v>
      </c>
      <c r="BI111" s="174">
        <v>0.3</v>
      </c>
      <c r="BJ111" s="2">
        <f t="shared" si="188"/>
        <v>2712965</v>
      </c>
      <c r="BK111" s="173">
        <v>2738730</v>
      </c>
      <c r="BL111" s="2">
        <f t="shared" si="158"/>
        <v>2712965</v>
      </c>
      <c r="BM111" s="3">
        <f t="shared" si="171"/>
        <v>0.3</v>
      </c>
      <c r="BN111" s="1">
        <f t="shared" si="159"/>
        <v>0</v>
      </c>
      <c r="BO111" s="4" t="b">
        <f t="shared" si="160"/>
        <v>0</v>
      </c>
      <c r="BP111" s="5">
        <f t="shared" si="161"/>
        <v>0</v>
      </c>
      <c r="BQ111" s="6">
        <f t="shared" si="140"/>
        <v>0</v>
      </c>
      <c r="BR111" s="4">
        <f t="shared" si="162"/>
        <v>0</v>
      </c>
      <c r="BS111" s="4" t="b">
        <f t="shared" si="163"/>
        <v>1</v>
      </c>
      <c r="BT111" s="4">
        <f t="shared" si="164"/>
        <v>997.79629999999997</v>
      </c>
      <c r="BU111" s="6">
        <f t="shared" si="141"/>
        <v>0.21024699999999999</v>
      </c>
      <c r="BV111" s="1">
        <f t="shared" si="165"/>
        <v>232.6</v>
      </c>
      <c r="BW111" s="1">
        <f t="shared" si="166"/>
        <v>0</v>
      </c>
      <c r="BX111" s="116">
        <v>187.5</v>
      </c>
      <c r="BY111" s="7">
        <f t="shared" si="172"/>
        <v>2.54</v>
      </c>
      <c r="BZ111" s="7">
        <f>IF(ROUND((Weightings!$P$5*BY111^Weightings!$P$6*Weightings!$P$8 ),2)&lt;Weightings!$P$7,Weightings!$P$7,ROUND((Weightings!$P$5*BY111^Weightings!$P$6*Weightings!$P$8 ),2))</f>
        <v>810.27</v>
      </c>
      <c r="CA111" s="8">
        <f>ROUND(BZ111/Weightings!$M$5,4)</f>
        <v>0.21110000000000001</v>
      </c>
      <c r="CB111" s="1">
        <f t="shared" si="173"/>
        <v>100.6</v>
      </c>
      <c r="CC111" s="173">
        <v>0</v>
      </c>
      <c r="CD111" s="173">
        <v>0</v>
      </c>
      <c r="CE111" s="173">
        <v>0</v>
      </c>
      <c r="CF111" s="177">
        <v>0</v>
      </c>
      <c r="CG111" s="2">
        <f>AS111*Weightings!$M$5*CF111</f>
        <v>0</v>
      </c>
      <c r="CH111" s="2">
        <f t="shared" si="174"/>
        <v>0</v>
      </c>
      <c r="CI111" s="117">
        <f t="shared" si="167"/>
        <v>0.48499999999999999</v>
      </c>
      <c r="CJ111" s="4">
        <f t="shared" si="168"/>
        <v>5.9</v>
      </c>
      <c r="CK111" s="1">
        <f t="shared" si="175"/>
        <v>0</v>
      </c>
      <c r="CL111" s="1">
        <f t="shared" si="176"/>
        <v>0</v>
      </c>
      <c r="CM111" s="1">
        <f t="shared" si="177"/>
        <v>50.7</v>
      </c>
      <c r="CN111" s="1">
        <f>IF(ISNA(VLOOKUP($CZ111,'Audit Values'!$A$2:$AE$439,2,FALSE)),'Preliminary SO66'!T108,VLOOKUP($CZ111,'Audit Values'!$A$2:$AE$439,20,FALSE))</f>
        <v>0</v>
      </c>
      <c r="CO111" s="1">
        <f t="shared" si="182"/>
        <v>0</v>
      </c>
      <c r="CP111" s="183">
        <v>0</v>
      </c>
      <c r="CQ111" s="1">
        <f t="shared" si="183"/>
        <v>0</v>
      </c>
      <c r="CR111" s="2">
        <f>IF(ISNA(VLOOKUP($CZ111,'Audit Values'!$A$2:$AE$439,2,FALSE)),'Preliminary SO66'!V108,VLOOKUP($CZ111,'Audit Values'!$A$2:$AE$439,22,FALSE))</f>
        <v>0</v>
      </c>
      <c r="CS111" s="1">
        <f t="shared" si="184"/>
        <v>0</v>
      </c>
      <c r="CT111" s="2">
        <f>IF(ISNA(VLOOKUP($CZ111,'Audit Values'!$A$2:$AE$439,2,FALSE)),'Preliminary SO66'!W108,VLOOKUP($CZ111,'Audit Values'!$A$2:$AE$439,23,FALSE))</f>
        <v>0</v>
      </c>
      <c r="CU111" s="1">
        <f t="shared" si="189"/>
        <v>0</v>
      </c>
      <c r="CV111" s="1">
        <f t="shared" si="190"/>
        <v>0</v>
      </c>
      <c r="CW111" s="176">
        <v>0</v>
      </c>
      <c r="CX111" s="2">
        <f>IF(CW111&gt;0,Weightings!$M$11*AR111,0)</f>
        <v>0</v>
      </c>
      <c r="CY111" s="2">
        <f t="shared" si="178"/>
        <v>0</v>
      </c>
      <c r="CZ111" s="108" t="s">
        <v>403</v>
      </c>
    </row>
    <row r="112" spans="1:104">
      <c r="A112" s="82">
        <v>310</v>
      </c>
      <c r="B112" s="4" t="s">
        <v>51</v>
      </c>
      <c r="C112" s="4" t="s">
        <v>739</v>
      </c>
      <c r="D112" s="1">
        <v>271.5</v>
      </c>
      <c r="E112" s="1">
        <v>0</v>
      </c>
      <c r="F112" s="1">
        <f t="shared" si="187"/>
        <v>271.5</v>
      </c>
      <c r="G112" s="1">
        <v>266.5</v>
      </c>
      <c r="H112" s="1">
        <v>0</v>
      </c>
      <c r="I112" s="1">
        <f t="shared" si="142"/>
        <v>266.5</v>
      </c>
      <c r="J112" s="1">
        <f t="shared" si="143"/>
        <v>272</v>
      </c>
      <c r="K112" s="1">
        <f>IF(ISNA(VLOOKUP($CZ112,'Audit Values'!$A$2:$AE$439,2,FALSE)),'Preliminary SO66'!B109,VLOOKUP($CZ112,'Audit Values'!$A$2:$AE$439,31,FALSE))</f>
        <v>272</v>
      </c>
      <c r="L112" s="1">
        <f t="shared" si="144"/>
        <v>272</v>
      </c>
      <c r="M112" s="1">
        <f>IF(ISNA(VLOOKUP($CZ112,'Audit Values'!$A$2:$AE$439,2,FALSE)),'Preliminary SO66'!Z109,VLOOKUP($CZ112,'Audit Values'!$A$2:$AE$439,26,FALSE))</f>
        <v>0</v>
      </c>
      <c r="N112" s="1">
        <f t="shared" si="145"/>
        <v>272</v>
      </c>
      <c r="O112" s="1">
        <f>IF(ISNA(VLOOKUP($CZ112,'Audit Values'!$A$2:$AE$439,2,FALSE)),'Preliminary SO66'!C109,IF(VLOOKUP($CZ112,'Audit Values'!$A$2:$AE$439,28,FALSE)="",VLOOKUP($CZ112,'Audit Values'!$A$2:$AE$439,3,FALSE),VLOOKUP($CZ112,'Audit Values'!$A$2:$AE$439,28,FALSE)))</f>
        <v>0</v>
      </c>
      <c r="P112" s="109">
        <f t="shared" si="146"/>
        <v>272</v>
      </c>
      <c r="Q112" s="110">
        <f t="shared" si="147"/>
        <v>272</v>
      </c>
      <c r="R112" s="111">
        <f t="shared" si="148"/>
        <v>272</v>
      </c>
      <c r="S112" s="1">
        <f t="shared" si="149"/>
        <v>272</v>
      </c>
      <c r="T112" s="1">
        <f t="shared" si="185"/>
        <v>0</v>
      </c>
      <c r="U112" s="1">
        <f t="shared" si="150"/>
        <v>151.9</v>
      </c>
      <c r="V112" s="1">
        <f t="shared" si="179"/>
        <v>151.9</v>
      </c>
      <c r="W112" s="1">
        <f t="shared" si="180"/>
        <v>0</v>
      </c>
      <c r="X112" s="1">
        <f>IF(ISNA(VLOOKUP($CZ112,'Audit Values'!$A$2:$AE$439,2,FALSE)),'Preliminary SO66'!D109,VLOOKUP($CZ112,'Audit Values'!$A$2:$AE$439,4,FALSE))</f>
        <v>91.9</v>
      </c>
      <c r="Y112" s="1">
        <f>ROUND((X112/6)*Weightings!$M$6,1)</f>
        <v>7.7</v>
      </c>
      <c r="Z112" s="1">
        <f>IF(ISNA(VLOOKUP($CZ112,'Audit Values'!$A$2:$AE$439,2,FALSE)),'Preliminary SO66'!F109,VLOOKUP($CZ112,'Audit Values'!$A$2:$AE$439,6,FALSE))</f>
        <v>38.799999999999997</v>
      </c>
      <c r="AA112" s="1">
        <f>ROUND((Z112/6)*Weightings!$M$7,1)</f>
        <v>2.6</v>
      </c>
      <c r="AB112" s="2">
        <f>IF(ISNA(VLOOKUP($CZ112,'Audit Values'!$A$2:$AE$439,2,FALSE)),'Preliminary SO66'!H109,VLOOKUP($CZ112,'Audit Values'!$A$2:$AE$439,8,FALSE))</f>
        <v>163</v>
      </c>
      <c r="AC112" s="1">
        <f>ROUND(AB112*Weightings!$M$8,1)</f>
        <v>74.3</v>
      </c>
      <c r="AD112" s="1">
        <f t="shared" si="169"/>
        <v>17.100000000000001</v>
      </c>
      <c r="AE112" s="185">
        <v>17</v>
      </c>
      <c r="AF112" s="1">
        <f>AE112*Weightings!$M$9</f>
        <v>0.8</v>
      </c>
      <c r="AG112" s="1">
        <f>IF(ISNA(VLOOKUP($CZ112,'Audit Values'!$A$2:$AE$439,2,FALSE)),'Preliminary SO66'!L109,VLOOKUP($CZ112,'Audit Values'!$A$2:$AE$439,12,FALSE))</f>
        <v>0</v>
      </c>
      <c r="AH112" s="1">
        <f>ROUND(AG112*Weightings!$M$10,1)</f>
        <v>0</v>
      </c>
      <c r="AI112" s="1">
        <f>IF(ISNA(VLOOKUP($CZ112,'Audit Values'!$A$2:$AE$439,2,FALSE)),'Preliminary SO66'!O109,VLOOKUP($CZ112,'Audit Values'!$A$2:$AE$439,15,FALSE))</f>
        <v>271</v>
      </c>
      <c r="AJ112" s="1">
        <f t="shared" si="151"/>
        <v>78.900000000000006</v>
      </c>
      <c r="AK112" s="1">
        <f>CC112/Weightings!$M$5</f>
        <v>0</v>
      </c>
      <c r="AL112" s="1">
        <f>CD112/Weightings!$M$5</f>
        <v>0</v>
      </c>
      <c r="AM112" s="1">
        <f>CH112/Weightings!$M$5</f>
        <v>0</v>
      </c>
      <c r="AN112" s="1">
        <f t="shared" si="181"/>
        <v>0</v>
      </c>
      <c r="AO112" s="1">
        <f>IF(ISNA(VLOOKUP($CZ112,'Audit Values'!$A$2:$AE$439,2,FALSE)),'Preliminary SO66'!X109,VLOOKUP($CZ112,'Audit Values'!$A$2:$AE$439,24,FALSE))</f>
        <v>0</v>
      </c>
      <c r="AP112" s="188">
        <v>322760</v>
      </c>
      <c r="AQ112" s="113">
        <f>AP112/Weightings!$M$5</f>
        <v>84.1</v>
      </c>
      <c r="AR112" s="113">
        <f t="shared" si="152"/>
        <v>605.29999999999995</v>
      </c>
      <c r="AS112" s="1">
        <f t="shared" si="153"/>
        <v>689.4</v>
      </c>
      <c r="AT112" s="1">
        <f t="shared" si="154"/>
        <v>689.4</v>
      </c>
      <c r="AU112" s="2">
        <f t="shared" si="170"/>
        <v>0</v>
      </c>
      <c r="AV112" s="142">
        <f>IF(ISNA(VLOOKUP($CZ112,'Audit Values'!$A$2:$AC$360,2,FALSE)),"",IF(AND(Weightings!H112&gt;0,VLOOKUP($CZ112,'Audit Values'!$A$2:$AC$360,29,FALSE)&lt;Weightings!H112),Weightings!H112,VLOOKUP($CZ112,'Audit Values'!$A$2:$AC$360,29,FALSE)))</f>
        <v>22</v>
      </c>
      <c r="AW112" s="142" t="str">
        <f>IF(ISNA(VLOOKUP($CZ112,'Audit Values'!$A$2:$AD$360,2,FALSE)),"",VLOOKUP($CZ112,'Audit Values'!$A$2:$AD$360,30,FALSE))</f>
        <v>A</v>
      </c>
      <c r="AX112" s="159" t="str">
        <f>IF(Weightings!G112="","",IF(Weightings!I112="Pending","PX","R"))</f>
        <v/>
      </c>
      <c r="AY112" s="114">
        <f>AR112*Weightings!$M$5+AU112</f>
        <v>2323141</v>
      </c>
      <c r="AZ112" s="2">
        <f>AT112*Weightings!$M$5+AU112</f>
        <v>2645917</v>
      </c>
      <c r="BA112" s="2">
        <f>IF(Weightings!G112&gt;0,Weightings!G112,'Preliminary SO66'!AB109)</f>
        <v>2814405</v>
      </c>
      <c r="BB112" s="2">
        <f t="shared" si="155"/>
        <v>2645917</v>
      </c>
      <c r="BC112" s="124"/>
      <c r="BD112" s="124">
        <f>Weightings!E112</f>
        <v>0</v>
      </c>
      <c r="BE112" s="124">
        <f>Weightings!F112</f>
        <v>0</v>
      </c>
      <c r="BF112" s="2">
        <f t="shared" si="156"/>
        <v>0</v>
      </c>
      <c r="BG112" s="2">
        <f t="shared" si="157"/>
        <v>2645917</v>
      </c>
      <c r="BH112" s="2">
        <f>MAX(ROUND(((AR112-AO112)*4433)+AP112,0),ROUND(((AR112-AO112)*4433)+Weightings!B112,0))</f>
        <v>3068307</v>
      </c>
      <c r="BI112" s="174">
        <v>0.3</v>
      </c>
      <c r="BJ112" s="2">
        <f t="shared" si="188"/>
        <v>920492</v>
      </c>
      <c r="BK112" s="173">
        <v>955777</v>
      </c>
      <c r="BL112" s="2">
        <f t="shared" si="158"/>
        <v>920492</v>
      </c>
      <c r="BM112" s="3">
        <f t="shared" si="171"/>
        <v>0.3</v>
      </c>
      <c r="BN112" s="1">
        <f t="shared" si="159"/>
        <v>0</v>
      </c>
      <c r="BO112" s="4" t="b">
        <f t="shared" si="160"/>
        <v>1</v>
      </c>
      <c r="BP112" s="5">
        <f t="shared" si="161"/>
        <v>1660.66</v>
      </c>
      <c r="BQ112" s="6">
        <f t="shared" si="140"/>
        <v>0.55840699999999999</v>
      </c>
      <c r="BR112" s="4">
        <f t="shared" si="162"/>
        <v>151.9</v>
      </c>
      <c r="BS112" s="4" t="b">
        <f t="shared" si="163"/>
        <v>0</v>
      </c>
      <c r="BT112" s="4">
        <f t="shared" si="164"/>
        <v>0</v>
      </c>
      <c r="BU112" s="6">
        <f t="shared" si="141"/>
        <v>0</v>
      </c>
      <c r="BV112" s="1">
        <f t="shared" si="165"/>
        <v>0</v>
      </c>
      <c r="BW112" s="1">
        <f t="shared" si="166"/>
        <v>0</v>
      </c>
      <c r="BX112" s="116">
        <v>435.5</v>
      </c>
      <c r="BY112" s="7">
        <f t="shared" si="172"/>
        <v>0.62</v>
      </c>
      <c r="BZ112" s="7">
        <f>IF(ROUND((Weightings!$P$5*BY112^Weightings!$P$6*Weightings!$P$8 ),2)&lt;Weightings!$P$7,Weightings!$P$7,ROUND((Weightings!$P$5*BY112^Weightings!$P$6*Weightings!$P$8 ),2))</f>
        <v>1117.71</v>
      </c>
      <c r="CA112" s="8">
        <f>ROUND(BZ112/Weightings!$M$5,4)</f>
        <v>0.29120000000000001</v>
      </c>
      <c r="CB112" s="1">
        <f t="shared" si="173"/>
        <v>78.900000000000006</v>
      </c>
      <c r="CC112" s="173">
        <v>0</v>
      </c>
      <c r="CD112" s="173">
        <v>0</v>
      </c>
      <c r="CE112" s="173">
        <v>0</v>
      </c>
      <c r="CF112" s="177">
        <v>0</v>
      </c>
      <c r="CG112" s="2">
        <f>AS112*Weightings!$M$5*CF112</f>
        <v>0</v>
      </c>
      <c r="CH112" s="2">
        <f t="shared" si="174"/>
        <v>0</v>
      </c>
      <c r="CI112" s="117">
        <f t="shared" si="167"/>
        <v>0.59899999999999998</v>
      </c>
      <c r="CJ112" s="4">
        <f t="shared" si="168"/>
        <v>0.6</v>
      </c>
      <c r="CK112" s="1">
        <f t="shared" si="175"/>
        <v>17.100000000000001</v>
      </c>
      <c r="CL112" s="1">
        <f t="shared" si="176"/>
        <v>0</v>
      </c>
      <c r="CM112" s="1">
        <f t="shared" si="177"/>
        <v>0</v>
      </c>
      <c r="CN112" s="1">
        <f>IF(ISNA(VLOOKUP($CZ112,'Audit Values'!$A$2:$AE$439,2,FALSE)),'Preliminary SO66'!T109,VLOOKUP($CZ112,'Audit Values'!$A$2:$AE$439,20,FALSE))</f>
        <v>0</v>
      </c>
      <c r="CO112" s="1">
        <f t="shared" si="182"/>
        <v>0</v>
      </c>
      <c r="CP112" s="183">
        <v>0</v>
      </c>
      <c r="CQ112" s="1">
        <f t="shared" si="183"/>
        <v>0</v>
      </c>
      <c r="CR112" s="2">
        <f>IF(ISNA(VLOOKUP($CZ112,'Audit Values'!$A$2:$AE$439,2,FALSE)),'Preliminary SO66'!V109,VLOOKUP($CZ112,'Audit Values'!$A$2:$AE$439,22,FALSE))</f>
        <v>0</v>
      </c>
      <c r="CS112" s="1">
        <f t="shared" si="184"/>
        <v>0</v>
      </c>
      <c r="CT112" s="2">
        <f>IF(ISNA(VLOOKUP($CZ112,'Audit Values'!$A$2:$AE$439,2,FALSE)),'Preliminary SO66'!W109,VLOOKUP($CZ112,'Audit Values'!$A$2:$AE$439,23,FALSE))</f>
        <v>0</v>
      </c>
      <c r="CU112" s="1">
        <f t="shared" si="189"/>
        <v>0</v>
      </c>
      <c r="CV112" s="1">
        <f t="shared" si="190"/>
        <v>0</v>
      </c>
      <c r="CW112" s="176">
        <v>0</v>
      </c>
      <c r="CX112" s="2">
        <f>IF(CW112&gt;0,Weightings!$M$11*AR112,0)</f>
        <v>0</v>
      </c>
      <c r="CY112" s="2">
        <f t="shared" si="178"/>
        <v>0</v>
      </c>
      <c r="CZ112" s="108" t="s">
        <v>404</v>
      </c>
    </row>
    <row r="113" spans="1:104">
      <c r="A113" s="82">
        <v>311</v>
      </c>
      <c r="B113" s="4" t="s">
        <v>51</v>
      </c>
      <c r="C113" s="4" t="s">
        <v>740</v>
      </c>
      <c r="D113" s="1">
        <v>265.5</v>
      </c>
      <c r="E113" s="1">
        <v>7</v>
      </c>
      <c r="F113" s="1">
        <f t="shared" si="187"/>
        <v>272.5</v>
      </c>
      <c r="G113" s="1">
        <v>273.2</v>
      </c>
      <c r="H113" s="1">
        <v>0</v>
      </c>
      <c r="I113" s="1">
        <f t="shared" si="142"/>
        <v>273.2</v>
      </c>
      <c r="J113" s="1">
        <f t="shared" si="143"/>
        <v>275.3</v>
      </c>
      <c r="K113" s="1">
        <f>IF(ISNA(VLOOKUP($CZ113,'Audit Values'!$A$2:$AE$439,2,FALSE)),'Preliminary SO66'!B110,VLOOKUP($CZ113,'Audit Values'!$A$2:$AE$439,31,FALSE))</f>
        <v>275.3</v>
      </c>
      <c r="L113" s="1">
        <f t="shared" si="144"/>
        <v>275.3</v>
      </c>
      <c r="M113" s="1">
        <f>IF(ISNA(VLOOKUP($CZ113,'Audit Values'!$A$2:$AE$439,2,FALSE)),'Preliminary SO66'!Z110,VLOOKUP($CZ113,'Audit Values'!$A$2:$AE$439,26,FALSE))</f>
        <v>0</v>
      </c>
      <c r="N113" s="1">
        <f t="shared" si="145"/>
        <v>275.3</v>
      </c>
      <c r="O113" s="1">
        <f>IF(ISNA(VLOOKUP($CZ113,'Audit Values'!$A$2:$AE$439,2,FALSE)),'Preliminary SO66'!C110,IF(VLOOKUP($CZ113,'Audit Values'!$A$2:$AE$439,28,FALSE)="",VLOOKUP($CZ113,'Audit Values'!$A$2:$AE$439,3,FALSE),VLOOKUP($CZ113,'Audit Values'!$A$2:$AE$439,28,FALSE)))</f>
        <v>0</v>
      </c>
      <c r="P113" s="109">
        <f t="shared" si="146"/>
        <v>275.3</v>
      </c>
      <c r="Q113" s="110">
        <f t="shared" si="147"/>
        <v>275.3</v>
      </c>
      <c r="R113" s="111">
        <f t="shared" si="148"/>
        <v>275.3</v>
      </c>
      <c r="S113" s="1">
        <f t="shared" si="149"/>
        <v>275.3</v>
      </c>
      <c r="T113" s="1">
        <f t="shared" si="185"/>
        <v>0</v>
      </c>
      <c r="U113" s="1">
        <f t="shared" si="150"/>
        <v>151.30000000000001</v>
      </c>
      <c r="V113" s="1">
        <f t="shared" si="179"/>
        <v>151.30000000000001</v>
      </c>
      <c r="W113" s="1">
        <f t="shared" si="180"/>
        <v>0</v>
      </c>
      <c r="X113" s="1">
        <f>IF(ISNA(VLOOKUP($CZ113,'Audit Values'!$A$2:$AE$439,2,FALSE)),'Preliminary SO66'!D110,VLOOKUP($CZ113,'Audit Values'!$A$2:$AE$439,4,FALSE))</f>
        <v>170.1</v>
      </c>
      <c r="Y113" s="1">
        <f>ROUND((X113/6)*Weightings!$M$6,1)</f>
        <v>14.2</v>
      </c>
      <c r="Z113" s="1">
        <f>IF(ISNA(VLOOKUP($CZ113,'Audit Values'!$A$2:$AE$439,2,FALSE)),'Preliminary SO66'!F110,VLOOKUP($CZ113,'Audit Values'!$A$2:$AE$439,6,FALSE))</f>
        <v>0</v>
      </c>
      <c r="AA113" s="1">
        <f>ROUND((Z113/6)*Weightings!$M$7,1)</f>
        <v>0</v>
      </c>
      <c r="AB113" s="2">
        <f>IF(ISNA(VLOOKUP($CZ113,'Audit Values'!$A$2:$AE$439,2,FALSE)),'Preliminary SO66'!H110,VLOOKUP($CZ113,'Audit Values'!$A$2:$AE$439,8,FALSE))</f>
        <v>85</v>
      </c>
      <c r="AC113" s="1">
        <f>ROUND(AB113*Weightings!$M$8,1)</f>
        <v>38.799999999999997</v>
      </c>
      <c r="AD113" s="1">
        <f t="shared" si="169"/>
        <v>0</v>
      </c>
      <c r="AE113" s="185">
        <v>16</v>
      </c>
      <c r="AF113" s="1">
        <f>AE113*Weightings!$M$9</f>
        <v>0.7</v>
      </c>
      <c r="AG113" s="1">
        <f>IF(ISNA(VLOOKUP($CZ113,'Audit Values'!$A$2:$AE$439,2,FALSE)),'Preliminary SO66'!L110,VLOOKUP($CZ113,'Audit Values'!$A$2:$AE$439,12,FALSE))</f>
        <v>0</v>
      </c>
      <c r="AH113" s="1">
        <f>ROUND(AG113*Weightings!$M$10,1)</f>
        <v>0</v>
      </c>
      <c r="AI113" s="1">
        <f>IF(ISNA(VLOOKUP($CZ113,'Audit Values'!$A$2:$AE$439,2,FALSE)),'Preliminary SO66'!O110,VLOOKUP($CZ113,'Audit Values'!$A$2:$AE$439,15,FALSE))</f>
        <v>100</v>
      </c>
      <c r="AJ113" s="1">
        <f t="shared" si="151"/>
        <v>30.9</v>
      </c>
      <c r="AK113" s="1">
        <f>CC113/Weightings!$M$5</f>
        <v>0</v>
      </c>
      <c r="AL113" s="1">
        <f>CD113/Weightings!$M$5</f>
        <v>0</v>
      </c>
      <c r="AM113" s="1">
        <f>CH113/Weightings!$M$5</f>
        <v>0</v>
      </c>
      <c r="AN113" s="1">
        <f t="shared" si="181"/>
        <v>0</v>
      </c>
      <c r="AO113" s="1">
        <f>IF(ISNA(VLOOKUP($CZ113,'Audit Values'!$A$2:$AE$439,2,FALSE)),'Preliminary SO66'!X110,VLOOKUP($CZ113,'Audit Values'!$A$2:$AE$439,24,FALSE))</f>
        <v>0</v>
      </c>
      <c r="AP113" s="188">
        <f>267026+5326</f>
        <v>272352</v>
      </c>
      <c r="AQ113" s="113">
        <f>AP113/Weightings!$M$5</f>
        <v>71</v>
      </c>
      <c r="AR113" s="113">
        <f t="shared" si="152"/>
        <v>511.2</v>
      </c>
      <c r="AS113" s="1">
        <f t="shared" si="153"/>
        <v>582.20000000000005</v>
      </c>
      <c r="AT113" s="1">
        <f t="shared" si="154"/>
        <v>582.20000000000005</v>
      </c>
      <c r="AU113" s="2">
        <f t="shared" si="170"/>
        <v>0</v>
      </c>
      <c r="AV113" s="142">
        <f>IF(ISNA(VLOOKUP($CZ113,'Audit Values'!$A$2:$AC$360,2,FALSE)),"",IF(AND(Weightings!H113&gt;0,VLOOKUP($CZ113,'Audit Values'!$A$2:$AC$360,29,FALSE)&lt;Weightings!H113),Weightings!H113,VLOOKUP($CZ113,'Audit Values'!$A$2:$AC$360,29,FALSE)))</f>
        <v>31</v>
      </c>
      <c r="AW113" s="142" t="str">
        <f>IF(ISNA(VLOOKUP($CZ113,'Audit Values'!$A$2:$AD$360,2,FALSE)),"",VLOOKUP($CZ113,'Audit Values'!$A$2:$AD$360,30,FALSE))</f>
        <v>A</v>
      </c>
      <c r="AX113" s="159" t="str">
        <f>IF(Weightings!G113="","",IF(Weightings!I113="Pending","PX","R"))</f>
        <v/>
      </c>
      <c r="AY113" s="114">
        <f>AR113*Weightings!$M$5+AU113</f>
        <v>1961986</v>
      </c>
      <c r="AZ113" s="2">
        <f>AT113*Weightings!$M$5+AU113</f>
        <v>2234484</v>
      </c>
      <c r="BA113" s="2">
        <f>IF(Weightings!G113&gt;0,Weightings!G113,'Preliminary SO66'!AB110)</f>
        <v>2285913</v>
      </c>
      <c r="BB113" s="2">
        <f t="shared" si="155"/>
        <v>2234484</v>
      </c>
      <c r="BC113" s="124"/>
      <c r="BD113" s="124">
        <f>Weightings!E113</f>
        <v>0</v>
      </c>
      <c r="BE113" s="124">
        <f>Weightings!F113</f>
        <v>0</v>
      </c>
      <c r="BF113" s="2">
        <f t="shared" si="156"/>
        <v>0</v>
      </c>
      <c r="BG113" s="2">
        <f t="shared" si="157"/>
        <v>2234484</v>
      </c>
      <c r="BH113" s="2">
        <f>MAX(ROUND(((AR113-AO113)*4433)+AP113,0),ROUND(((AR113-AO113)*4433)+Weightings!B113,0))</f>
        <v>2538502</v>
      </c>
      <c r="BI113" s="174">
        <v>0.3</v>
      </c>
      <c r="BJ113" s="2">
        <f t="shared" si="188"/>
        <v>761551</v>
      </c>
      <c r="BK113" s="173">
        <v>750000</v>
      </c>
      <c r="BL113" s="2">
        <f t="shared" si="158"/>
        <v>750000</v>
      </c>
      <c r="BM113" s="3">
        <f t="shared" si="171"/>
        <v>0.2954</v>
      </c>
      <c r="BN113" s="1">
        <f t="shared" si="159"/>
        <v>0</v>
      </c>
      <c r="BO113" s="4" t="b">
        <f t="shared" si="160"/>
        <v>1</v>
      </c>
      <c r="BP113" s="5">
        <f t="shared" si="161"/>
        <v>1692.5219999999999</v>
      </c>
      <c r="BQ113" s="6">
        <f t="shared" si="140"/>
        <v>0.54965900000000001</v>
      </c>
      <c r="BR113" s="4">
        <f t="shared" si="162"/>
        <v>151.30000000000001</v>
      </c>
      <c r="BS113" s="4" t="b">
        <f t="shared" si="163"/>
        <v>0</v>
      </c>
      <c r="BT113" s="4">
        <f t="shared" si="164"/>
        <v>0</v>
      </c>
      <c r="BU113" s="6">
        <f t="shared" si="141"/>
        <v>0</v>
      </c>
      <c r="BV113" s="1">
        <f t="shared" si="165"/>
        <v>0</v>
      </c>
      <c r="BW113" s="1">
        <f t="shared" si="166"/>
        <v>0</v>
      </c>
      <c r="BX113" s="116">
        <v>208</v>
      </c>
      <c r="BY113" s="7">
        <f t="shared" si="172"/>
        <v>0.48</v>
      </c>
      <c r="BZ113" s="7">
        <f>IF(ROUND((Weightings!$P$5*BY113^Weightings!$P$6*Weightings!$P$8 ),2)&lt;Weightings!$P$7,Weightings!$P$7,ROUND((Weightings!$P$5*BY113^Weightings!$P$6*Weightings!$P$8 ),2))</f>
        <v>1184.9000000000001</v>
      </c>
      <c r="CA113" s="8">
        <f>ROUND(BZ113/Weightings!$M$5,4)</f>
        <v>0.30869999999999997</v>
      </c>
      <c r="CB113" s="1">
        <f t="shared" si="173"/>
        <v>30.9</v>
      </c>
      <c r="CC113" s="173">
        <v>0</v>
      </c>
      <c r="CD113" s="173">
        <v>0</v>
      </c>
      <c r="CE113" s="173">
        <v>0</v>
      </c>
      <c r="CF113" s="177">
        <v>0</v>
      </c>
      <c r="CG113" s="2">
        <f>AS113*Weightings!$M$5*CF113</f>
        <v>0</v>
      </c>
      <c r="CH113" s="2">
        <f t="shared" si="174"/>
        <v>0</v>
      </c>
      <c r="CI113" s="117">
        <f t="shared" si="167"/>
        <v>0.309</v>
      </c>
      <c r="CJ113" s="4">
        <f t="shared" si="168"/>
        <v>1.3</v>
      </c>
      <c r="CK113" s="1">
        <f t="shared" si="175"/>
        <v>0</v>
      </c>
      <c r="CL113" s="1">
        <f t="shared" si="176"/>
        <v>0</v>
      </c>
      <c r="CM113" s="1">
        <f t="shared" si="177"/>
        <v>0</v>
      </c>
      <c r="CN113" s="1">
        <f>IF(ISNA(VLOOKUP($CZ113,'Audit Values'!$A$2:$AE$439,2,FALSE)),'Preliminary SO66'!T110,VLOOKUP($CZ113,'Audit Values'!$A$2:$AE$439,20,FALSE))</f>
        <v>0</v>
      </c>
      <c r="CO113" s="1">
        <f t="shared" si="182"/>
        <v>0</v>
      </c>
      <c r="CP113" s="183">
        <v>0</v>
      </c>
      <c r="CQ113" s="1">
        <f t="shared" si="183"/>
        <v>0</v>
      </c>
      <c r="CR113" s="2">
        <f>IF(ISNA(VLOOKUP($CZ113,'Audit Values'!$A$2:$AE$439,2,FALSE)),'Preliminary SO66'!V110,VLOOKUP($CZ113,'Audit Values'!$A$2:$AE$439,22,FALSE))</f>
        <v>0</v>
      </c>
      <c r="CS113" s="1">
        <f t="shared" si="184"/>
        <v>0</v>
      </c>
      <c r="CT113" s="2">
        <f>IF(ISNA(VLOOKUP($CZ113,'Audit Values'!$A$2:$AE$439,2,FALSE)),'Preliminary SO66'!W110,VLOOKUP($CZ113,'Audit Values'!$A$2:$AE$439,23,FALSE))</f>
        <v>0</v>
      </c>
      <c r="CU113" s="1">
        <f t="shared" si="189"/>
        <v>0</v>
      </c>
      <c r="CV113" s="1">
        <f t="shared" si="190"/>
        <v>0</v>
      </c>
      <c r="CW113" s="176">
        <v>0</v>
      </c>
      <c r="CX113" s="2">
        <f>IF(CW113&gt;0,Weightings!$M$11*AR113,0)</f>
        <v>0</v>
      </c>
      <c r="CY113" s="2">
        <f t="shared" si="178"/>
        <v>0</v>
      </c>
      <c r="CZ113" s="108" t="s">
        <v>405</v>
      </c>
    </row>
    <row r="114" spans="1:104">
      <c r="A114" s="82">
        <v>312</v>
      </c>
      <c r="B114" s="4" t="s">
        <v>51</v>
      </c>
      <c r="C114" s="4" t="s">
        <v>741</v>
      </c>
      <c r="D114" s="1">
        <v>879.9</v>
      </c>
      <c r="E114" s="1">
        <v>0</v>
      </c>
      <c r="F114" s="1">
        <f t="shared" si="187"/>
        <v>879.9</v>
      </c>
      <c r="G114" s="1">
        <v>849.9</v>
      </c>
      <c r="H114" s="1">
        <v>0</v>
      </c>
      <c r="I114" s="1">
        <f t="shared" si="142"/>
        <v>849.9</v>
      </c>
      <c r="J114" s="1">
        <f t="shared" si="143"/>
        <v>925</v>
      </c>
      <c r="K114" s="1">
        <f>IF(ISNA(VLOOKUP($CZ114,'Audit Values'!$A$2:$AE$439,2,FALSE)),'Preliminary SO66'!B111,VLOOKUP($CZ114,'Audit Values'!$A$2:$AE$439,31,FALSE))</f>
        <v>855.5</v>
      </c>
      <c r="L114" s="1">
        <f t="shared" si="144"/>
        <v>861.8</v>
      </c>
      <c r="M114" s="1">
        <f>IF(ISNA(VLOOKUP($CZ114,'Audit Values'!$A$2:$AE$439,2,FALSE)),'Preliminary SO66'!Z111,VLOOKUP($CZ114,'Audit Values'!$A$2:$AE$439,26,FALSE))</f>
        <v>0</v>
      </c>
      <c r="N114" s="1">
        <f t="shared" si="145"/>
        <v>861.8</v>
      </c>
      <c r="O114" s="1">
        <f>IF(ISNA(VLOOKUP($CZ114,'Audit Values'!$A$2:$AE$439,2,FALSE)),'Preliminary SO66'!C111,IF(VLOOKUP($CZ114,'Audit Values'!$A$2:$AE$439,28,FALSE)="",VLOOKUP($CZ114,'Audit Values'!$A$2:$AE$439,3,FALSE),VLOOKUP($CZ114,'Audit Values'!$A$2:$AE$439,28,FALSE)))</f>
        <v>4.5</v>
      </c>
      <c r="P114" s="109">
        <f t="shared" si="146"/>
        <v>860</v>
      </c>
      <c r="Q114" s="110">
        <f t="shared" si="147"/>
        <v>929.5</v>
      </c>
      <c r="R114" s="111">
        <f t="shared" si="148"/>
        <v>929.5</v>
      </c>
      <c r="S114" s="1">
        <f t="shared" si="149"/>
        <v>866.3</v>
      </c>
      <c r="T114" s="1">
        <f t="shared" si="185"/>
        <v>69.5</v>
      </c>
      <c r="U114" s="1">
        <f t="shared" si="150"/>
        <v>252.8</v>
      </c>
      <c r="V114" s="1">
        <f t="shared" si="179"/>
        <v>252.8</v>
      </c>
      <c r="W114" s="1">
        <f t="shared" si="180"/>
        <v>0</v>
      </c>
      <c r="X114" s="1">
        <f>IF(ISNA(VLOOKUP($CZ114,'Audit Values'!$A$2:$AE$439,2,FALSE)),'Preliminary SO66'!D111,VLOOKUP($CZ114,'Audit Values'!$A$2:$AE$439,4,FALSE))</f>
        <v>361.9</v>
      </c>
      <c r="Y114" s="1">
        <f>ROUND((X114/6)*Weightings!$M$6,1)</f>
        <v>30.2</v>
      </c>
      <c r="Z114" s="1">
        <f>IF(ISNA(VLOOKUP($CZ114,'Audit Values'!$A$2:$AE$439,2,FALSE)),'Preliminary SO66'!F111,VLOOKUP($CZ114,'Audit Values'!$A$2:$AE$439,6,FALSE))</f>
        <v>161</v>
      </c>
      <c r="AA114" s="1">
        <f>ROUND((Z114/6)*Weightings!$M$7,1)</f>
        <v>10.6</v>
      </c>
      <c r="AB114" s="2">
        <f>IF(ISNA(VLOOKUP($CZ114,'Audit Values'!$A$2:$AE$439,2,FALSE)),'Preliminary SO66'!H111,VLOOKUP($CZ114,'Audit Values'!$A$2:$AE$439,8,FALSE))</f>
        <v>269</v>
      </c>
      <c r="AC114" s="1">
        <f>ROUND(AB114*Weightings!$M$8,1)</f>
        <v>122.7</v>
      </c>
      <c r="AD114" s="1">
        <f t="shared" si="169"/>
        <v>0</v>
      </c>
      <c r="AE114" s="185">
        <v>62</v>
      </c>
      <c r="AF114" s="1">
        <f>AE114*Weightings!$M$9</f>
        <v>2.9</v>
      </c>
      <c r="AG114" s="1">
        <f>IF(ISNA(VLOOKUP($CZ114,'Audit Values'!$A$2:$AE$439,2,FALSE)),'Preliminary SO66'!L111,VLOOKUP($CZ114,'Audit Values'!$A$2:$AE$439,12,FALSE))</f>
        <v>0</v>
      </c>
      <c r="AH114" s="1">
        <f>ROUND(AG114*Weightings!$M$10,1)</f>
        <v>0</v>
      </c>
      <c r="AI114" s="1">
        <f>IF(ISNA(VLOOKUP($CZ114,'Audit Values'!$A$2:$AE$439,2,FALSE)),'Preliminary SO66'!O111,VLOOKUP($CZ114,'Audit Values'!$A$2:$AE$439,15,FALSE))</f>
        <v>456</v>
      </c>
      <c r="AJ114" s="1">
        <f t="shared" si="151"/>
        <v>106.7</v>
      </c>
      <c r="AK114" s="1">
        <f>CC114/Weightings!$M$5</f>
        <v>0</v>
      </c>
      <c r="AL114" s="1">
        <f>CD114/Weightings!$M$5</f>
        <v>0</v>
      </c>
      <c r="AM114" s="1">
        <f>CH114/Weightings!$M$5</f>
        <v>0</v>
      </c>
      <c r="AN114" s="1">
        <f t="shared" si="181"/>
        <v>79.5</v>
      </c>
      <c r="AO114" s="1">
        <f>IF(ISNA(VLOOKUP($CZ114,'Audit Values'!$A$2:$AE$439,2,FALSE)),'Preliminary SO66'!X111,VLOOKUP($CZ114,'Audit Values'!$A$2:$AE$439,24,FALSE))</f>
        <v>0</v>
      </c>
      <c r="AP114" s="188">
        <v>974619</v>
      </c>
      <c r="AQ114" s="113">
        <f>AP114/Weightings!$M$5</f>
        <v>253.9</v>
      </c>
      <c r="AR114" s="113">
        <f t="shared" si="152"/>
        <v>1471.7</v>
      </c>
      <c r="AS114" s="1">
        <f t="shared" si="153"/>
        <v>1725.6</v>
      </c>
      <c r="AT114" s="1">
        <f t="shared" si="154"/>
        <v>1725.6</v>
      </c>
      <c r="AU114" s="2">
        <f t="shared" si="170"/>
        <v>14325</v>
      </c>
      <c r="AV114" s="82">
        <f>IF(ISNA(VLOOKUP($CZ114,'Audit Values'!$A$2:$AC$360,2,FALSE)),"",IF(AND(Weightings!H114&gt;0,VLOOKUP($CZ114,'Audit Values'!$A$2:$AC$360,29,FALSE)&lt;Weightings!H114),Weightings!H114,VLOOKUP($CZ114,'Audit Values'!$A$2:$AC$360,29,FALSE)))</f>
        <v>9</v>
      </c>
      <c r="AW114" s="82" t="str">
        <f>IF(ISNA(VLOOKUP($CZ114,'Audit Values'!$A$2:$AD$360,2,FALSE)),"",VLOOKUP($CZ114,'Audit Values'!$A$2:$AD$360,30,FALSE))</f>
        <v>A</v>
      </c>
      <c r="AX114" s="82" t="str">
        <f>IF(Weightings!G114="","",IF(Weightings!I114="Pending","PX","R"))</f>
        <v>R</v>
      </c>
      <c r="AY114" s="114">
        <f>AR114*Weightings!$M$5+AU114</f>
        <v>5662710</v>
      </c>
      <c r="AZ114" s="2">
        <f>AT114*Weightings!$M$5+AU114</f>
        <v>6637178</v>
      </c>
      <c r="BA114" s="2">
        <f>IF(Weightings!G114&gt;0,Weightings!G114,'Preliminary SO66'!AB111)</f>
        <v>6864004</v>
      </c>
      <c r="BB114" s="2">
        <f t="shared" si="155"/>
        <v>6637178</v>
      </c>
      <c r="BC114" s="124"/>
      <c r="BD114" s="124">
        <f>Weightings!E114</f>
        <v>0</v>
      </c>
      <c r="BE114" s="124">
        <f>Weightings!F114</f>
        <v>0</v>
      </c>
      <c r="BF114" s="2">
        <f t="shared" si="156"/>
        <v>0</v>
      </c>
      <c r="BG114" s="2">
        <f t="shared" si="157"/>
        <v>6637178</v>
      </c>
      <c r="BH114" s="2">
        <f>MAX(ROUND(((AR114-AO114)*4433)+AP114,0),ROUND(((AR114-AO114)*4433)+Weightings!B114,0))</f>
        <v>7508337</v>
      </c>
      <c r="BI114" s="174">
        <v>0.3</v>
      </c>
      <c r="BJ114" s="2">
        <f t="shared" si="188"/>
        <v>2252501</v>
      </c>
      <c r="BK114" s="173">
        <v>2255758</v>
      </c>
      <c r="BL114" s="2">
        <f t="shared" si="158"/>
        <v>2252501</v>
      </c>
      <c r="BM114" s="3">
        <f t="shared" si="171"/>
        <v>0.3</v>
      </c>
      <c r="BN114" s="1">
        <f t="shared" si="159"/>
        <v>0</v>
      </c>
      <c r="BO114" s="4" t="b">
        <f t="shared" si="160"/>
        <v>0</v>
      </c>
      <c r="BP114" s="5">
        <f t="shared" si="161"/>
        <v>0</v>
      </c>
      <c r="BQ114" s="6">
        <f t="shared" si="140"/>
        <v>0</v>
      </c>
      <c r="BR114" s="4">
        <f t="shared" si="162"/>
        <v>0</v>
      </c>
      <c r="BS114" s="4" t="b">
        <f t="shared" si="163"/>
        <v>1</v>
      </c>
      <c r="BT114" s="4">
        <f t="shared" si="164"/>
        <v>700.79629999999997</v>
      </c>
      <c r="BU114" s="6">
        <f t="shared" si="141"/>
        <v>0.29178700000000002</v>
      </c>
      <c r="BV114" s="1">
        <f t="shared" si="165"/>
        <v>252.8</v>
      </c>
      <c r="BW114" s="1">
        <f t="shared" si="166"/>
        <v>0</v>
      </c>
      <c r="BX114" s="116">
        <v>282</v>
      </c>
      <c r="BY114" s="7">
        <f t="shared" si="172"/>
        <v>1.62</v>
      </c>
      <c r="BZ114" s="7">
        <f>IF(ROUND((Weightings!$P$5*BY114^Weightings!$P$6*Weightings!$P$8 ),2)&lt;Weightings!$P$7,Weightings!$P$7,ROUND((Weightings!$P$5*BY114^Weightings!$P$6*Weightings!$P$8 ),2))</f>
        <v>897.81</v>
      </c>
      <c r="CA114" s="8">
        <f>ROUND(BZ114/Weightings!$M$5,4)</f>
        <v>0.2339</v>
      </c>
      <c r="CB114" s="1">
        <f t="shared" si="173"/>
        <v>106.7</v>
      </c>
      <c r="CC114" s="173">
        <v>0</v>
      </c>
      <c r="CD114" s="173">
        <v>0</v>
      </c>
      <c r="CE114" s="173">
        <v>0</v>
      </c>
      <c r="CF114" s="177">
        <v>0</v>
      </c>
      <c r="CG114" s="2">
        <f>AS114*Weightings!$M$5*CF114</f>
        <v>0</v>
      </c>
      <c r="CH114" s="2">
        <f t="shared" si="174"/>
        <v>0</v>
      </c>
      <c r="CI114" s="117">
        <f t="shared" si="167"/>
        <v>0.311</v>
      </c>
      <c r="CJ114" s="4">
        <f t="shared" si="168"/>
        <v>3.1</v>
      </c>
      <c r="CK114" s="1">
        <f t="shared" si="175"/>
        <v>0</v>
      </c>
      <c r="CL114" s="1">
        <f t="shared" si="176"/>
        <v>0</v>
      </c>
      <c r="CM114" s="1">
        <f t="shared" si="177"/>
        <v>0</v>
      </c>
      <c r="CN114" s="1">
        <f>IF(ISNA(VLOOKUP($CZ114,'Audit Values'!$A$2:$AE$439,2,FALSE)),'Preliminary SO66'!T111,VLOOKUP($CZ114,'Audit Values'!$A$2:$AE$439,20,FALSE))</f>
        <v>69.5</v>
      </c>
      <c r="CO114" s="1">
        <f t="shared" si="182"/>
        <v>73</v>
      </c>
      <c r="CP114" s="181">
        <v>26</v>
      </c>
      <c r="CQ114" s="1">
        <f t="shared" si="183"/>
        <v>6.5</v>
      </c>
      <c r="CR114" s="2">
        <f>IF(ISNA(VLOOKUP($CZ114,'Audit Values'!$A$2:$AE$439,2,FALSE)),'Preliminary SO66'!V111,VLOOKUP($CZ114,'Audit Values'!$A$2:$AE$439,22,FALSE))</f>
        <v>0</v>
      </c>
      <c r="CS114" s="1">
        <f t="shared" si="184"/>
        <v>0</v>
      </c>
      <c r="CT114" s="2">
        <f>IF(ISNA(VLOOKUP($CZ114,'Audit Values'!$A$2:$AE$439,2,FALSE)),'Preliminary SO66'!W111,VLOOKUP($CZ114,'Audit Values'!$A$2:$AE$439,23,FALSE))</f>
        <v>0</v>
      </c>
      <c r="CU114" s="1">
        <f t="shared" si="189"/>
        <v>0</v>
      </c>
      <c r="CV114" s="1">
        <f t="shared" si="190"/>
        <v>79.5</v>
      </c>
      <c r="CW114" s="176">
        <v>14325</v>
      </c>
      <c r="CX114" s="2">
        <f>IF(CW114&gt;0,Weightings!$M$11*AR114,0)</f>
        <v>367925</v>
      </c>
      <c r="CY114" s="2">
        <f t="shared" si="178"/>
        <v>14325</v>
      </c>
      <c r="CZ114" s="108" t="s">
        <v>406</v>
      </c>
    </row>
    <row r="115" spans="1:104">
      <c r="A115" s="82">
        <v>313</v>
      </c>
      <c r="B115" s="4" t="s">
        <v>51</v>
      </c>
      <c r="C115" s="4" t="s">
        <v>742</v>
      </c>
      <c r="D115" s="1">
        <v>2117.1</v>
      </c>
      <c r="E115" s="1">
        <v>0</v>
      </c>
      <c r="F115" s="1">
        <f t="shared" si="187"/>
        <v>2117.1</v>
      </c>
      <c r="G115" s="1">
        <v>2138.5</v>
      </c>
      <c r="H115" s="1">
        <v>0</v>
      </c>
      <c r="I115" s="1">
        <f t="shared" si="142"/>
        <v>2138.5</v>
      </c>
      <c r="J115" s="1">
        <f t="shared" si="143"/>
        <v>2091.6999999999998</v>
      </c>
      <c r="K115" s="1">
        <f>IF(ISNA(VLOOKUP($CZ115,'Audit Values'!$A$2:$AE$439,2,FALSE)),'Preliminary SO66'!B112,VLOOKUP($CZ115,'Audit Values'!$A$2:$AE$439,31,FALSE))</f>
        <v>2091.6999999999998</v>
      </c>
      <c r="L115" s="1">
        <f t="shared" si="144"/>
        <v>2138.5</v>
      </c>
      <c r="M115" s="1">
        <f>IF(ISNA(VLOOKUP($CZ115,'Audit Values'!$A$2:$AE$439,2,FALSE)),'Preliminary SO66'!Z112,VLOOKUP($CZ115,'Audit Values'!$A$2:$AE$439,26,FALSE))</f>
        <v>0</v>
      </c>
      <c r="N115" s="1">
        <f t="shared" si="145"/>
        <v>2138.5</v>
      </c>
      <c r="O115" s="1">
        <f>IF(ISNA(VLOOKUP($CZ115,'Audit Values'!$A$2:$AE$439,2,FALSE)),'Preliminary SO66'!C112,IF(VLOOKUP($CZ115,'Audit Values'!$A$2:$AE$439,28,FALSE)="",VLOOKUP($CZ115,'Audit Values'!$A$2:$AE$439,3,FALSE),VLOOKUP($CZ115,'Audit Values'!$A$2:$AE$439,28,FALSE)))</f>
        <v>19.5</v>
      </c>
      <c r="P115" s="109">
        <f t="shared" si="146"/>
        <v>2111.1999999999998</v>
      </c>
      <c r="Q115" s="110">
        <f t="shared" si="147"/>
        <v>2111.1999999999998</v>
      </c>
      <c r="R115" s="111">
        <f t="shared" si="148"/>
        <v>2111.1999999999998</v>
      </c>
      <c r="S115" s="1">
        <f t="shared" si="149"/>
        <v>2158</v>
      </c>
      <c r="T115" s="1">
        <f t="shared" si="185"/>
        <v>0</v>
      </c>
      <c r="U115" s="1">
        <f t="shared" si="150"/>
        <v>75.599999999999994</v>
      </c>
      <c r="V115" s="1">
        <f t="shared" si="179"/>
        <v>0</v>
      </c>
      <c r="W115" s="1">
        <f t="shared" si="180"/>
        <v>75.599999999999994</v>
      </c>
      <c r="X115" s="1">
        <f>IF(ISNA(VLOOKUP($CZ115,'Audit Values'!$A$2:$AE$439,2,FALSE)),'Preliminary SO66'!D112,VLOOKUP($CZ115,'Audit Values'!$A$2:$AE$439,4,FALSE))</f>
        <v>446.1</v>
      </c>
      <c r="Y115" s="1">
        <f>ROUND((X115/6)*Weightings!$M$6,1)</f>
        <v>37.200000000000003</v>
      </c>
      <c r="Z115" s="1">
        <f>IF(ISNA(VLOOKUP($CZ115,'Audit Values'!$A$2:$AE$439,2,FALSE)),'Preliminary SO66'!F112,VLOOKUP($CZ115,'Audit Values'!$A$2:$AE$439,6,FALSE))</f>
        <v>66.5</v>
      </c>
      <c r="AA115" s="1">
        <f>ROUND((Z115/6)*Weightings!$M$7,1)</f>
        <v>4.4000000000000004</v>
      </c>
      <c r="AB115" s="2">
        <f>IF(ISNA(VLOOKUP($CZ115,'Audit Values'!$A$2:$AE$439,2,FALSE)),'Preliminary SO66'!H112,VLOOKUP($CZ115,'Audit Values'!$A$2:$AE$439,8,FALSE))</f>
        <v>641</v>
      </c>
      <c r="AC115" s="1">
        <f>ROUND(AB115*Weightings!$M$8,1)</f>
        <v>292.3</v>
      </c>
      <c r="AD115" s="1">
        <f t="shared" si="169"/>
        <v>0</v>
      </c>
      <c r="AE115" s="185">
        <v>133</v>
      </c>
      <c r="AF115" s="1">
        <f>AE115*Weightings!$M$9</f>
        <v>6.2</v>
      </c>
      <c r="AG115" s="1">
        <f>IF(ISNA(VLOOKUP($CZ115,'Audit Values'!$A$2:$AE$439,2,FALSE)),'Preliminary SO66'!L112,VLOOKUP($CZ115,'Audit Values'!$A$2:$AE$439,12,FALSE))</f>
        <v>0</v>
      </c>
      <c r="AH115" s="1">
        <f>ROUND(AG115*Weightings!$M$10,1)</f>
        <v>0</v>
      </c>
      <c r="AI115" s="1">
        <f>IF(ISNA(VLOOKUP($CZ115,'Audit Values'!$A$2:$AE$439,2,FALSE)),'Preliminary SO66'!O112,VLOOKUP($CZ115,'Audit Values'!$A$2:$AE$439,15,FALSE))</f>
        <v>1073</v>
      </c>
      <c r="AJ115" s="1">
        <f t="shared" si="151"/>
        <v>175.4</v>
      </c>
      <c r="AK115" s="1">
        <f>CC115/Weightings!$M$5</f>
        <v>0</v>
      </c>
      <c r="AL115" s="1">
        <f>CD115/Weightings!$M$5</f>
        <v>0</v>
      </c>
      <c r="AM115" s="1">
        <f>CH115/Weightings!$M$5</f>
        <v>0</v>
      </c>
      <c r="AN115" s="1">
        <f t="shared" si="181"/>
        <v>0</v>
      </c>
      <c r="AO115" s="1">
        <f>IF(ISNA(VLOOKUP($CZ115,'Audit Values'!$A$2:$AE$439,2,FALSE)),'Preliminary SO66'!X112,VLOOKUP($CZ115,'Audit Values'!$A$2:$AE$439,24,FALSE))</f>
        <v>0</v>
      </c>
      <c r="AP115" s="188">
        <v>2508807</v>
      </c>
      <c r="AQ115" s="113">
        <f>AP115/Weightings!$M$5</f>
        <v>653.70000000000005</v>
      </c>
      <c r="AR115" s="113">
        <f t="shared" si="152"/>
        <v>2749.1</v>
      </c>
      <c r="AS115" s="1">
        <f t="shared" si="153"/>
        <v>3402.8</v>
      </c>
      <c r="AT115" s="1">
        <f t="shared" si="154"/>
        <v>3402.8</v>
      </c>
      <c r="AU115" s="2">
        <f t="shared" si="170"/>
        <v>0</v>
      </c>
      <c r="AV115" s="82">
        <f>IF(ISNA(VLOOKUP($CZ115,'Audit Values'!$A$2:$AC$360,2,FALSE)),"",IF(AND(Weightings!H115&gt;0,VLOOKUP($CZ115,'Audit Values'!$A$2:$AC$360,29,FALSE)&lt;Weightings!H115),Weightings!H115,VLOOKUP($CZ115,'Audit Values'!$A$2:$AC$360,29,FALSE)))</f>
        <v>10</v>
      </c>
      <c r="AW115" s="82" t="str">
        <f>IF(ISNA(VLOOKUP($CZ115,'Audit Values'!$A$2:$AD$360,2,FALSE)),"",VLOOKUP($CZ115,'Audit Values'!$A$2:$AD$360,30,FALSE))</f>
        <v>A</v>
      </c>
      <c r="AX115" s="82" t="str">
        <f>IF(Weightings!G115="","",IF(Weightings!I115="Pending","PX","R"))</f>
        <v/>
      </c>
      <c r="AY115" s="114">
        <f>AR115*Weightings!$M$5+AU115</f>
        <v>10551046</v>
      </c>
      <c r="AZ115" s="2">
        <f>AT115*Weightings!$M$5+AU115</f>
        <v>13059946</v>
      </c>
      <c r="BA115" s="2">
        <f>IF(Weightings!G115&gt;0,Weightings!G115,'Preliminary SO66'!AB112)</f>
        <v>13390014</v>
      </c>
      <c r="BB115" s="2">
        <f t="shared" si="155"/>
        <v>13059946</v>
      </c>
      <c r="BC115" s="124"/>
      <c r="BD115" s="124">
        <f>Weightings!E115</f>
        <v>-629</v>
      </c>
      <c r="BE115" s="124">
        <f>Weightings!F115</f>
        <v>0</v>
      </c>
      <c r="BF115" s="2">
        <f t="shared" si="156"/>
        <v>-629</v>
      </c>
      <c r="BG115" s="2">
        <f t="shared" si="157"/>
        <v>13059317</v>
      </c>
      <c r="BH115" s="2">
        <f>MAX(ROUND(((AR115-AO115)*4433)+AP115,0),ROUND(((AR115-AO115)*4433)+Weightings!B115,0))</f>
        <v>14695567</v>
      </c>
      <c r="BI115" s="174">
        <v>0.3</v>
      </c>
      <c r="BJ115" s="2">
        <f t="shared" si="188"/>
        <v>4408670</v>
      </c>
      <c r="BK115" s="173">
        <v>4520009</v>
      </c>
      <c r="BL115" s="2">
        <f t="shared" si="158"/>
        <v>4408670</v>
      </c>
      <c r="BM115" s="3">
        <f t="shared" si="171"/>
        <v>0.3</v>
      </c>
      <c r="BN115" s="1">
        <f t="shared" si="159"/>
        <v>0</v>
      </c>
      <c r="BO115" s="4" t="b">
        <f t="shared" si="160"/>
        <v>0</v>
      </c>
      <c r="BP115" s="5">
        <f t="shared" si="161"/>
        <v>0</v>
      </c>
      <c r="BQ115" s="6">
        <f t="shared" si="140"/>
        <v>0</v>
      </c>
      <c r="BR115" s="4">
        <f t="shared" si="162"/>
        <v>0</v>
      </c>
      <c r="BS115" s="4" t="b">
        <f t="shared" si="163"/>
        <v>0</v>
      </c>
      <c r="BT115" s="4">
        <f t="shared" si="164"/>
        <v>0</v>
      </c>
      <c r="BU115" s="6">
        <f t="shared" si="141"/>
        <v>0</v>
      </c>
      <c r="BV115" s="1">
        <f t="shared" si="165"/>
        <v>0</v>
      </c>
      <c r="BW115" s="1">
        <f t="shared" si="166"/>
        <v>75.599999999999994</v>
      </c>
      <c r="BX115" s="116">
        <v>137.69999999999999</v>
      </c>
      <c r="BY115" s="7">
        <f t="shared" si="172"/>
        <v>7.79</v>
      </c>
      <c r="BZ115" s="7">
        <f>IF(ROUND((Weightings!$P$5*BY115^Weightings!$P$6*Weightings!$P$8 ),2)&lt;Weightings!$P$7,Weightings!$P$7,ROUND((Weightings!$P$5*BY115^Weightings!$P$6*Weightings!$P$8 ),2))</f>
        <v>627.5</v>
      </c>
      <c r="CA115" s="8">
        <f>ROUND(BZ115/Weightings!$M$5,4)</f>
        <v>0.16350000000000001</v>
      </c>
      <c r="CB115" s="1">
        <f t="shared" si="173"/>
        <v>175.4</v>
      </c>
      <c r="CC115" s="173">
        <v>0</v>
      </c>
      <c r="CD115" s="173">
        <v>0</v>
      </c>
      <c r="CE115" s="173">
        <v>0</v>
      </c>
      <c r="CF115" s="177">
        <v>0</v>
      </c>
      <c r="CG115" s="2">
        <f>AS115*Weightings!$M$5*CF115</f>
        <v>0</v>
      </c>
      <c r="CH115" s="2">
        <f t="shared" si="174"/>
        <v>0</v>
      </c>
      <c r="CI115" s="117">
        <f t="shared" si="167"/>
        <v>0.29699999999999999</v>
      </c>
      <c r="CJ115" s="4">
        <f t="shared" si="168"/>
        <v>15.7</v>
      </c>
      <c r="CK115" s="1">
        <f t="shared" si="175"/>
        <v>0</v>
      </c>
      <c r="CL115" s="1">
        <f t="shared" si="176"/>
        <v>0</v>
      </c>
      <c r="CM115" s="1">
        <f t="shared" si="177"/>
        <v>0</v>
      </c>
      <c r="CN115" s="1">
        <f>IF(ISNA(VLOOKUP($CZ115,'Audit Values'!$A$2:$AE$439,2,FALSE)),'Preliminary SO66'!T112,VLOOKUP($CZ115,'Audit Values'!$A$2:$AE$439,20,FALSE))</f>
        <v>0</v>
      </c>
      <c r="CO115" s="1">
        <f t="shared" si="182"/>
        <v>0</v>
      </c>
      <c r="CP115" s="183">
        <v>0</v>
      </c>
      <c r="CQ115" s="1">
        <f t="shared" si="183"/>
        <v>0</v>
      </c>
      <c r="CR115" s="2">
        <f>IF(ISNA(VLOOKUP($CZ115,'Audit Values'!$A$2:$AE$439,2,FALSE)),'Preliminary SO66'!V112,VLOOKUP($CZ115,'Audit Values'!$A$2:$AE$439,22,FALSE))</f>
        <v>0</v>
      </c>
      <c r="CS115" s="1">
        <f t="shared" si="184"/>
        <v>0</v>
      </c>
      <c r="CT115" s="2">
        <f>IF(ISNA(VLOOKUP($CZ115,'Audit Values'!$A$2:$AE$439,2,FALSE)),'Preliminary SO66'!W112,VLOOKUP($CZ115,'Audit Values'!$A$2:$AE$439,23,FALSE))</f>
        <v>0</v>
      </c>
      <c r="CU115" s="1">
        <f t="shared" si="189"/>
        <v>0</v>
      </c>
      <c r="CV115" s="1">
        <f t="shared" si="190"/>
        <v>0</v>
      </c>
      <c r="CW115" s="176">
        <v>0</v>
      </c>
      <c r="CX115" s="2">
        <f>IF(CW115&gt;0,Weightings!$M$11*AR115,0)</f>
        <v>0</v>
      </c>
      <c r="CY115" s="2">
        <f t="shared" si="178"/>
        <v>0</v>
      </c>
      <c r="CZ115" s="108" t="s">
        <v>407</v>
      </c>
    </row>
    <row r="116" spans="1:104">
      <c r="A116" s="82">
        <v>314</v>
      </c>
      <c r="B116" s="4" t="s">
        <v>52</v>
      </c>
      <c r="C116" s="4" t="s">
        <v>743</v>
      </c>
      <c r="D116" s="1">
        <v>68.5</v>
      </c>
      <c r="E116" s="1">
        <v>0</v>
      </c>
      <c r="F116" s="1">
        <f t="shared" si="187"/>
        <v>68.5</v>
      </c>
      <c r="G116" s="1">
        <v>89.2</v>
      </c>
      <c r="H116" s="1">
        <v>0</v>
      </c>
      <c r="I116" s="1">
        <f t="shared" si="142"/>
        <v>89.2</v>
      </c>
      <c r="J116" s="1">
        <f t="shared" si="143"/>
        <v>98.9</v>
      </c>
      <c r="K116" s="1">
        <f>IF(ISNA(VLOOKUP($CZ116,'Audit Values'!$A$2:$AE$439,2,FALSE)),'Preliminary SO66'!B113,VLOOKUP($CZ116,'Audit Values'!$A$2:$AE$439,31,FALSE))</f>
        <v>98.9</v>
      </c>
      <c r="L116" s="1">
        <f t="shared" si="144"/>
        <v>98.9</v>
      </c>
      <c r="M116" s="1">
        <f>IF(ISNA(VLOOKUP($CZ116,'Audit Values'!$A$2:$AE$439,2,FALSE)),'Preliminary SO66'!Z113,VLOOKUP($CZ116,'Audit Values'!$A$2:$AE$439,26,FALSE))</f>
        <v>0</v>
      </c>
      <c r="N116" s="1">
        <f t="shared" si="145"/>
        <v>98.9</v>
      </c>
      <c r="O116" s="1">
        <f>IF(ISNA(VLOOKUP($CZ116,'Audit Values'!$A$2:$AE$439,2,FALSE)),'Preliminary SO66'!C113,IF(VLOOKUP($CZ116,'Audit Values'!$A$2:$AE$439,28,FALSE)="",VLOOKUP($CZ116,'Audit Values'!$A$2:$AE$439,3,FALSE),VLOOKUP($CZ116,'Audit Values'!$A$2:$AE$439,28,FALSE)))</f>
        <v>0</v>
      </c>
      <c r="P116" s="109">
        <f t="shared" si="146"/>
        <v>98.9</v>
      </c>
      <c r="Q116" s="110">
        <f t="shared" si="147"/>
        <v>98.9</v>
      </c>
      <c r="R116" s="111">
        <f t="shared" si="148"/>
        <v>98.9</v>
      </c>
      <c r="S116" s="1">
        <f t="shared" si="149"/>
        <v>98.9</v>
      </c>
      <c r="T116" s="1">
        <f t="shared" si="185"/>
        <v>0</v>
      </c>
      <c r="U116" s="1">
        <f t="shared" si="150"/>
        <v>100.3</v>
      </c>
      <c r="V116" s="1">
        <f t="shared" si="179"/>
        <v>100.3</v>
      </c>
      <c r="W116" s="1">
        <f t="shared" si="180"/>
        <v>0</v>
      </c>
      <c r="X116" s="1">
        <f>IF(ISNA(VLOOKUP($CZ116,'Audit Values'!$A$2:$AE$439,2,FALSE)),'Preliminary SO66'!D113,VLOOKUP($CZ116,'Audit Values'!$A$2:$AE$439,4,FALSE))</f>
        <v>0</v>
      </c>
      <c r="Y116" s="1">
        <f>ROUND((X116/6)*Weightings!$M$6,1)</f>
        <v>0</v>
      </c>
      <c r="Z116" s="1">
        <f>IF(ISNA(VLOOKUP($CZ116,'Audit Values'!$A$2:$AE$439,2,FALSE)),'Preliminary SO66'!F113,VLOOKUP($CZ116,'Audit Values'!$A$2:$AE$439,6,FALSE))</f>
        <v>0</v>
      </c>
      <c r="AA116" s="1">
        <f>ROUND((Z116/6)*Weightings!$M$7,1)</f>
        <v>0</v>
      </c>
      <c r="AB116" s="2">
        <f>IF(ISNA(VLOOKUP($CZ116,'Audit Values'!$A$2:$AE$439,2,FALSE)),'Preliminary SO66'!H113,VLOOKUP($CZ116,'Audit Values'!$A$2:$AE$439,8,FALSE))</f>
        <v>26</v>
      </c>
      <c r="AC116" s="1">
        <f>ROUND(AB116*Weightings!$M$8,1)</f>
        <v>11.9</v>
      </c>
      <c r="AD116" s="1">
        <f t="shared" si="169"/>
        <v>0</v>
      </c>
      <c r="AE116" s="185">
        <v>8</v>
      </c>
      <c r="AF116" s="1">
        <f>AE116*Weightings!$M$9</f>
        <v>0.4</v>
      </c>
      <c r="AG116" s="1">
        <f>IF(ISNA(VLOOKUP($CZ116,'Audit Values'!$A$2:$AE$439,2,FALSE)),'Preliminary SO66'!L113,VLOOKUP($CZ116,'Audit Values'!$A$2:$AE$439,12,FALSE))</f>
        <v>0</v>
      </c>
      <c r="AH116" s="1">
        <f>ROUND(AG116*Weightings!$M$10,1)</f>
        <v>0</v>
      </c>
      <c r="AI116" s="1">
        <f>IF(ISNA(VLOOKUP($CZ116,'Audit Values'!$A$2:$AE$439,2,FALSE)),'Preliminary SO66'!O113,VLOOKUP($CZ116,'Audit Values'!$A$2:$AE$439,15,FALSE))</f>
        <v>27</v>
      </c>
      <c r="AJ116" s="1">
        <f t="shared" si="151"/>
        <v>12.9</v>
      </c>
      <c r="AK116" s="1">
        <f>CC116/Weightings!$M$5</f>
        <v>0</v>
      </c>
      <c r="AL116" s="1">
        <f>CD116/Weightings!$M$5</f>
        <v>0</v>
      </c>
      <c r="AM116" s="1">
        <f>CH116/Weightings!$M$5</f>
        <v>0</v>
      </c>
      <c r="AN116" s="1">
        <f t="shared" si="181"/>
        <v>0</v>
      </c>
      <c r="AO116" s="1">
        <f>IF(ISNA(VLOOKUP($CZ116,'Audit Values'!$A$2:$AE$439,2,FALSE)),'Preliminary SO66'!X113,VLOOKUP($CZ116,'Audit Values'!$A$2:$AE$439,24,FALSE))</f>
        <v>0</v>
      </c>
      <c r="AP116" s="188">
        <v>108037</v>
      </c>
      <c r="AQ116" s="113">
        <f>AP116/Weightings!$M$5</f>
        <v>28.1</v>
      </c>
      <c r="AR116" s="113">
        <f t="shared" si="152"/>
        <v>224.4</v>
      </c>
      <c r="AS116" s="1">
        <f t="shared" si="153"/>
        <v>252.5</v>
      </c>
      <c r="AT116" s="1">
        <f t="shared" si="154"/>
        <v>252.5</v>
      </c>
      <c r="AU116" s="2">
        <f t="shared" si="170"/>
        <v>0</v>
      </c>
      <c r="AV116" s="82">
        <f>IF(ISNA(VLOOKUP($CZ116,'Audit Values'!$A$2:$AC$360,2,FALSE)),"",IF(AND(Weightings!H116&gt;0,VLOOKUP($CZ116,'Audit Values'!$A$2:$AC$360,29,FALSE)&lt;Weightings!H116),Weightings!H116,VLOOKUP($CZ116,'Audit Values'!$A$2:$AC$360,29,FALSE)))</f>
        <v>6</v>
      </c>
      <c r="AW116" s="82" t="str">
        <f>IF(ISNA(VLOOKUP($CZ116,'Audit Values'!$A$2:$AD$360,2,FALSE)),"",VLOOKUP($CZ116,'Audit Values'!$A$2:$AD$360,30,FALSE))</f>
        <v>A</v>
      </c>
      <c r="AX116" s="82" t="str">
        <f>IF(Weightings!G116="","",IF(Weightings!I116="Pending","PX","R"))</f>
        <v>R</v>
      </c>
      <c r="AY116" s="114">
        <f>AR116*Weightings!$M$5+AU116</f>
        <v>861247</v>
      </c>
      <c r="AZ116" s="2">
        <f>AT116*Weightings!$M$5+AU116</f>
        <v>969095</v>
      </c>
      <c r="BA116" s="2">
        <f>IF(Weightings!G116&gt;0,Weightings!G116,'Preliminary SO66'!AB113)</f>
        <v>1034285</v>
      </c>
      <c r="BB116" s="2">
        <f t="shared" si="155"/>
        <v>969095</v>
      </c>
      <c r="BC116" s="124"/>
      <c r="BD116" s="124">
        <f>Weightings!E116</f>
        <v>0</v>
      </c>
      <c r="BE116" s="124">
        <f>Weightings!F116</f>
        <v>0</v>
      </c>
      <c r="BF116" s="2">
        <f t="shared" si="156"/>
        <v>0</v>
      </c>
      <c r="BG116" s="2">
        <f t="shared" si="157"/>
        <v>969095</v>
      </c>
      <c r="BH116" s="2">
        <f>MAX(ROUND(((AR116-AO116)*4433)+AP116,0),ROUND(((AR116-AO116)*4433)+Weightings!B116,0))</f>
        <v>1111894</v>
      </c>
      <c r="BI116" s="174">
        <v>0.3</v>
      </c>
      <c r="BJ116" s="2">
        <f t="shared" si="188"/>
        <v>333568</v>
      </c>
      <c r="BK116" s="173">
        <v>275000</v>
      </c>
      <c r="BL116" s="2">
        <f t="shared" si="158"/>
        <v>275000</v>
      </c>
      <c r="BM116" s="3">
        <f t="shared" si="171"/>
        <v>0.24729999999999999</v>
      </c>
      <c r="BN116" s="1">
        <f t="shared" si="159"/>
        <v>100.3</v>
      </c>
      <c r="BO116" s="4" t="b">
        <f t="shared" si="160"/>
        <v>0</v>
      </c>
      <c r="BP116" s="5">
        <f t="shared" si="161"/>
        <v>0</v>
      </c>
      <c r="BQ116" s="6">
        <f t="shared" si="140"/>
        <v>0</v>
      </c>
      <c r="BR116" s="4">
        <f t="shared" si="162"/>
        <v>0</v>
      </c>
      <c r="BS116" s="4" t="b">
        <f t="shared" si="163"/>
        <v>0</v>
      </c>
      <c r="BT116" s="4">
        <f t="shared" si="164"/>
        <v>0</v>
      </c>
      <c r="BU116" s="6">
        <f t="shared" si="141"/>
        <v>0</v>
      </c>
      <c r="BV116" s="1">
        <f t="shared" si="165"/>
        <v>0</v>
      </c>
      <c r="BW116" s="1">
        <f t="shared" si="166"/>
        <v>0</v>
      </c>
      <c r="BX116" s="116">
        <v>372.8</v>
      </c>
      <c r="BY116" s="7">
        <f t="shared" si="172"/>
        <v>7.0000000000000007E-2</v>
      </c>
      <c r="BZ116" s="7">
        <f>IF(ROUND((Weightings!$P$5*BY116^Weightings!$P$6*Weightings!$P$8 ),2)&lt;Weightings!$P$7,Weightings!$P$7,ROUND((Weightings!$P$5*BY116^Weightings!$P$6*Weightings!$P$8 ),2))</f>
        <v>1838.27</v>
      </c>
      <c r="CA116" s="8">
        <f>ROUND(BZ116/Weightings!$M$5,4)</f>
        <v>0.47899999999999998</v>
      </c>
      <c r="CB116" s="1">
        <f t="shared" si="173"/>
        <v>12.9</v>
      </c>
      <c r="CC116" s="173">
        <v>0</v>
      </c>
      <c r="CD116" s="173">
        <v>0</v>
      </c>
      <c r="CE116" s="173">
        <v>0</v>
      </c>
      <c r="CF116" s="177">
        <v>0</v>
      </c>
      <c r="CG116" s="2">
        <f>AS116*Weightings!$M$5*CF116</f>
        <v>0</v>
      </c>
      <c r="CH116" s="2">
        <f t="shared" si="174"/>
        <v>0</v>
      </c>
      <c r="CI116" s="117">
        <f t="shared" si="167"/>
        <v>0.26300000000000001</v>
      </c>
      <c r="CJ116" s="4">
        <f t="shared" si="168"/>
        <v>0.3</v>
      </c>
      <c r="CK116" s="1">
        <f t="shared" si="175"/>
        <v>0</v>
      </c>
      <c r="CL116" s="1">
        <f t="shared" si="176"/>
        <v>0</v>
      </c>
      <c r="CM116" s="1">
        <f t="shared" si="177"/>
        <v>0</v>
      </c>
      <c r="CN116" s="1">
        <f>IF(ISNA(VLOOKUP($CZ116,'Audit Values'!$A$2:$AE$439,2,FALSE)),'Preliminary SO66'!T113,VLOOKUP($CZ116,'Audit Values'!$A$2:$AE$439,20,FALSE))</f>
        <v>0</v>
      </c>
      <c r="CO116" s="1">
        <f t="shared" si="182"/>
        <v>0</v>
      </c>
      <c r="CP116" s="183">
        <v>0</v>
      </c>
      <c r="CQ116" s="1">
        <f t="shared" si="183"/>
        <v>0</v>
      </c>
      <c r="CR116" s="2">
        <f>IF(ISNA(VLOOKUP($CZ116,'Audit Values'!$A$2:$AE$439,2,FALSE)),'Preliminary SO66'!V113,VLOOKUP($CZ116,'Audit Values'!$A$2:$AE$439,22,FALSE))</f>
        <v>0</v>
      </c>
      <c r="CS116" s="1">
        <f t="shared" si="184"/>
        <v>0</v>
      </c>
      <c r="CT116" s="2">
        <f>IF(ISNA(VLOOKUP($CZ116,'Audit Values'!$A$2:$AE$439,2,FALSE)),'Preliminary SO66'!W113,VLOOKUP($CZ116,'Audit Values'!$A$2:$AE$439,23,FALSE))</f>
        <v>0</v>
      </c>
      <c r="CU116" s="1">
        <f t="shared" si="189"/>
        <v>0</v>
      </c>
      <c r="CV116" s="1">
        <f t="shared" si="190"/>
        <v>0</v>
      </c>
      <c r="CW116" s="176">
        <v>0</v>
      </c>
      <c r="CX116" s="2">
        <f>IF(CW116&gt;0,Weightings!$M$11*AR116,0)</f>
        <v>0</v>
      </c>
      <c r="CY116" s="2">
        <f t="shared" si="178"/>
        <v>0</v>
      </c>
      <c r="CZ116" s="108" t="s">
        <v>408</v>
      </c>
    </row>
    <row r="117" spans="1:104">
      <c r="A117" s="82">
        <v>315</v>
      </c>
      <c r="B117" s="4" t="s">
        <v>52</v>
      </c>
      <c r="C117" s="4" t="s">
        <v>744</v>
      </c>
      <c r="D117" s="1">
        <v>886.9</v>
      </c>
      <c r="E117" s="1">
        <v>0</v>
      </c>
      <c r="F117" s="1">
        <f t="shared" si="187"/>
        <v>886.9</v>
      </c>
      <c r="G117" s="1">
        <v>943.9</v>
      </c>
      <c r="H117" s="1">
        <v>0</v>
      </c>
      <c r="I117" s="1">
        <f t="shared" si="142"/>
        <v>943.9</v>
      </c>
      <c r="J117" s="1">
        <f t="shared" si="143"/>
        <v>920</v>
      </c>
      <c r="K117" s="1">
        <f>IF(ISNA(VLOOKUP($CZ117,'Audit Values'!$A$2:$AE$439,2,FALSE)),'Preliminary SO66'!B114,VLOOKUP($CZ117,'Audit Values'!$A$2:$AE$439,31,FALSE))</f>
        <v>914.5</v>
      </c>
      <c r="L117" s="1">
        <f t="shared" si="144"/>
        <v>943.9</v>
      </c>
      <c r="M117" s="1">
        <f>IF(ISNA(VLOOKUP($CZ117,'Audit Values'!$A$2:$AE$439,2,FALSE)),'Preliminary SO66'!Z114,VLOOKUP($CZ117,'Audit Values'!$A$2:$AE$439,26,FALSE))</f>
        <v>0</v>
      </c>
      <c r="N117" s="1">
        <f t="shared" si="145"/>
        <v>943.9</v>
      </c>
      <c r="O117" s="1">
        <f>IF(ISNA(VLOOKUP($CZ117,'Audit Values'!$A$2:$AE$439,2,FALSE)),'Preliminary SO66'!C114,IF(VLOOKUP($CZ117,'Audit Values'!$A$2:$AE$439,28,FALSE)="",VLOOKUP($CZ117,'Audit Values'!$A$2:$AE$439,3,FALSE),VLOOKUP($CZ117,'Audit Values'!$A$2:$AE$439,28,FALSE)))</f>
        <v>0</v>
      </c>
      <c r="P117" s="109">
        <f t="shared" si="146"/>
        <v>914.5</v>
      </c>
      <c r="Q117" s="110">
        <f t="shared" si="147"/>
        <v>920</v>
      </c>
      <c r="R117" s="111">
        <f t="shared" si="148"/>
        <v>920</v>
      </c>
      <c r="S117" s="1">
        <f t="shared" si="149"/>
        <v>943.9</v>
      </c>
      <c r="T117" s="1">
        <f t="shared" si="185"/>
        <v>5.5</v>
      </c>
      <c r="U117" s="1">
        <f t="shared" si="150"/>
        <v>250.5</v>
      </c>
      <c r="V117" s="1">
        <f t="shared" si="179"/>
        <v>250.5</v>
      </c>
      <c r="W117" s="1">
        <f t="shared" si="180"/>
        <v>0</v>
      </c>
      <c r="X117" s="1">
        <f>IF(ISNA(VLOOKUP($CZ117,'Audit Values'!$A$2:$AE$439,2,FALSE)),'Preliminary SO66'!D114,VLOOKUP($CZ117,'Audit Values'!$A$2:$AE$439,4,FALSE))</f>
        <v>318.3</v>
      </c>
      <c r="Y117" s="1">
        <f>ROUND((X117/6)*Weightings!$M$6,1)</f>
        <v>26.5</v>
      </c>
      <c r="Z117" s="1">
        <f>IF(ISNA(VLOOKUP($CZ117,'Audit Values'!$A$2:$AE$439,2,FALSE)),'Preliminary SO66'!F114,VLOOKUP($CZ117,'Audit Values'!$A$2:$AE$439,6,FALSE))</f>
        <v>71.7</v>
      </c>
      <c r="AA117" s="1">
        <f>ROUND((Z117/6)*Weightings!$M$7,1)</f>
        <v>4.7</v>
      </c>
      <c r="AB117" s="2">
        <f>IF(ISNA(VLOOKUP($CZ117,'Audit Values'!$A$2:$AE$439,2,FALSE)),'Preliminary SO66'!H114,VLOOKUP($CZ117,'Audit Values'!$A$2:$AE$439,8,FALSE))</f>
        <v>280</v>
      </c>
      <c r="AC117" s="1">
        <f>ROUND(AB117*Weightings!$M$8,1)</f>
        <v>127.7</v>
      </c>
      <c r="AD117" s="1">
        <f t="shared" si="169"/>
        <v>0</v>
      </c>
      <c r="AE117" s="185">
        <v>100</v>
      </c>
      <c r="AF117" s="1">
        <f>AE117*Weightings!$M$9</f>
        <v>4.7</v>
      </c>
      <c r="AG117" s="1">
        <f>IF(ISNA(VLOOKUP($CZ117,'Audit Values'!$A$2:$AE$439,2,FALSE)),'Preliminary SO66'!L114,VLOOKUP($CZ117,'Audit Values'!$A$2:$AE$439,12,FALSE))</f>
        <v>0</v>
      </c>
      <c r="AH117" s="1">
        <f>ROUND(AG117*Weightings!$M$10,1)</f>
        <v>0</v>
      </c>
      <c r="AI117" s="1">
        <f>IF(ISNA(VLOOKUP($CZ117,'Audit Values'!$A$2:$AE$439,2,FALSE)),'Preliminary SO66'!O114,VLOOKUP($CZ117,'Audit Values'!$A$2:$AE$439,15,FALSE))</f>
        <v>193</v>
      </c>
      <c r="AJ117" s="1">
        <f t="shared" si="151"/>
        <v>61.4</v>
      </c>
      <c r="AK117" s="1">
        <f>CC117/Weightings!$M$5</f>
        <v>0</v>
      </c>
      <c r="AL117" s="1">
        <f>CD117/Weightings!$M$5</f>
        <v>0</v>
      </c>
      <c r="AM117" s="1">
        <f>CH117/Weightings!$M$5</f>
        <v>0</v>
      </c>
      <c r="AN117" s="1">
        <f t="shared" si="181"/>
        <v>5.8</v>
      </c>
      <c r="AO117" s="1">
        <f>IF(ISNA(VLOOKUP($CZ117,'Audit Values'!$A$2:$AE$439,2,FALSE)),'Preliminary SO66'!X114,VLOOKUP($CZ117,'Audit Values'!$A$2:$AE$439,24,FALSE))</f>
        <v>0</v>
      </c>
      <c r="AP117" s="188">
        <v>834559</v>
      </c>
      <c r="AQ117" s="113">
        <f>AP117/Weightings!$M$5</f>
        <v>217.4</v>
      </c>
      <c r="AR117" s="113">
        <f t="shared" si="152"/>
        <v>1425.2</v>
      </c>
      <c r="AS117" s="1">
        <f t="shared" si="153"/>
        <v>1642.6</v>
      </c>
      <c r="AT117" s="1">
        <f t="shared" si="154"/>
        <v>1642.6</v>
      </c>
      <c r="AU117" s="2">
        <f t="shared" si="170"/>
        <v>0</v>
      </c>
      <c r="AV117" s="82">
        <f>IF(ISNA(VLOOKUP($CZ117,'Audit Values'!$A$2:$AC$360,2,FALSE)),"",IF(AND(Weightings!H117&gt;0,VLOOKUP($CZ117,'Audit Values'!$A$2:$AC$360,29,FALSE)&lt;Weightings!H117),Weightings!H117,VLOOKUP($CZ117,'Audit Values'!$A$2:$AC$360,29,FALSE)))</f>
        <v>15</v>
      </c>
      <c r="AW117" s="82" t="str">
        <f>IF(ISNA(VLOOKUP($CZ117,'Audit Values'!$A$2:$AD$360,2,FALSE)),"",VLOOKUP($CZ117,'Audit Values'!$A$2:$AD$360,30,FALSE))</f>
        <v>A</v>
      </c>
      <c r="AX117" s="82" t="str">
        <f>IF(Weightings!G117="","",IF(Weightings!I117="Pending","PX","R"))</f>
        <v/>
      </c>
      <c r="AY117" s="114">
        <f>AR117*Weightings!$M$5+AU117</f>
        <v>5469918</v>
      </c>
      <c r="AZ117" s="2">
        <f>AT117*Weightings!$M$5+AU117</f>
        <v>6304299</v>
      </c>
      <c r="BA117" s="2">
        <f>IF(Weightings!G117&gt;0,Weightings!G117,'Preliminary SO66'!AB114)</f>
        <v>6363020</v>
      </c>
      <c r="BB117" s="2">
        <f t="shared" si="155"/>
        <v>6304299</v>
      </c>
      <c r="BC117" s="124"/>
      <c r="BD117" s="124">
        <f>Weightings!E117</f>
        <v>0</v>
      </c>
      <c r="BE117" s="124">
        <f>Weightings!F117</f>
        <v>0</v>
      </c>
      <c r="BF117" s="2">
        <f t="shared" si="156"/>
        <v>0</v>
      </c>
      <c r="BG117" s="2">
        <f t="shared" si="157"/>
        <v>6304299</v>
      </c>
      <c r="BH117" s="2">
        <f>MAX(ROUND(((AR117-AO117)*4433)+AP117,0),ROUND(((AR117-AO117)*4433)+Weightings!B117,0))</f>
        <v>7364174</v>
      </c>
      <c r="BI117" s="174">
        <v>0.3</v>
      </c>
      <c r="BJ117" s="2">
        <f t="shared" si="188"/>
        <v>2209252</v>
      </c>
      <c r="BK117" s="173">
        <v>2206991</v>
      </c>
      <c r="BL117" s="2">
        <f t="shared" si="158"/>
        <v>2206991</v>
      </c>
      <c r="BM117" s="3">
        <f t="shared" si="171"/>
        <v>0.29970000000000002</v>
      </c>
      <c r="BN117" s="1">
        <f t="shared" si="159"/>
        <v>0</v>
      </c>
      <c r="BO117" s="4" t="b">
        <f t="shared" si="160"/>
        <v>0</v>
      </c>
      <c r="BP117" s="5">
        <f t="shared" si="161"/>
        <v>0</v>
      </c>
      <c r="BQ117" s="6">
        <f t="shared" si="140"/>
        <v>0</v>
      </c>
      <c r="BR117" s="4">
        <f t="shared" si="162"/>
        <v>0</v>
      </c>
      <c r="BS117" s="4" t="b">
        <f t="shared" si="163"/>
        <v>1</v>
      </c>
      <c r="BT117" s="4">
        <f t="shared" si="164"/>
        <v>796.82629999999995</v>
      </c>
      <c r="BU117" s="6">
        <f t="shared" si="141"/>
        <v>0.26542199999999999</v>
      </c>
      <c r="BV117" s="1">
        <f t="shared" si="165"/>
        <v>250.5</v>
      </c>
      <c r="BW117" s="1">
        <f t="shared" si="166"/>
        <v>0</v>
      </c>
      <c r="BX117" s="116">
        <v>463</v>
      </c>
      <c r="BY117" s="7">
        <f t="shared" si="172"/>
        <v>0.42</v>
      </c>
      <c r="BZ117" s="7">
        <f>IF(ROUND((Weightings!$P$5*BY117^Weightings!$P$6*Weightings!$P$8 ),2)&lt;Weightings!$P$7,Weightings!$P$7,ROUND((Weightings!$P$5*BY117^Weightings!$P$6*Weightings!$P$8 ),2))</f>
        <v>1221.55</v>
      </c>
      <c r="CA117" s="8">
        <f>ROUND(BZ117/Weightings!$M$5,4)</f>
        <v>0.31830000000000003</v>
      </c>
      <c r="CB117" s="1">
        <f t="shared" si="173"/>
        <v>61.4</v>
      </c>
      <c r="CC117" s="173">
        <v>0</v>
      </c>
      <c r="CD117" s="173">
        <v>0</v>
      </c>
      <c r="CE117" s="173">
        <v>0</v>
      </c>
      <c r="CF117" s="177">
        <v>0</v>
      </c>
      <c r="CG117" s="2">
        <f>AS117*Weightings!$M$5*CF117</f>
        <v>0</v>
      </c>
      <c r="CH117" s="2">
        <f t="shared" si="174"/>
        <v>0</v>
      </c>
      <c r="CI117" s="117">
        <f t="shared" si="167"/>
        <v>0.29699999999999999</v>
      </c>
      <c r="CJ117" s="4">
        <f t="shared" si="168"/>
        <v>2</v>
      </c>
      <c r="CK117" s="1">
        <f t="shared" si="175"/>
        <v>0</v>
      </c>
      <c r="CL117" s="1">
        <f t="shared" si="176"/>
        <v>0</v>
      </c>
      <c r="CM117" s="1">
        <f t="shared" si="177"/>
        <v>0</v>
      </c>
      <c r="CN117" s="1">
        <f>IF(ISNA(VLOOKUP($CZ117,'Audit Values'!$A$2:$AE$439,2,FALSE)),'Preliminary SO66'!T114,VLOOKUP($CZ117,'Audit Values'!$A$2:$AE$439,20,FALSE))</f>
        <v>5.5</v>
      </c>
      <c r="CO117" s="1">
        <f t="shared" si="182"/>
        <v>5.8</v>
      </c>
      <c r="CP117" s="183">
        <v>0</v>
      </c>
      <c r="CQ117" s="1">
        <f t="shared" si="183"/>
        <v>0</v>
      </c>
      <c r="CR117" s="2">
        <f>IF(ISNA(VLOOKUP($CZ117,'Audit Values'!$A$2:$AE$439,2,FALSE)),'Preliminary SO66'!V114,VLOOKUP($CZ117,'Audit Values'!$A$2:$AE$439,22,FALSE))</f>
        <v>0</v>
      </c>
      <c r="CS117" s="1">
        <f t="shared" si="184"/>
        <v>0</v>
      </c>
      <c r="CT117" s="2">
        <f>IF(ISNA(VLOOKUP($CZ117,'Audit Values'!$A$2:$AE$439,2,FALSE)),'Preliminary SO66'!W114,VLOOKUP($CZ117,'Audit Values'!$A$2:$AE$439,23,FALSE))</f>
        <v>0</v>
      </c>
      <c r="CU117" s="1">
        <f t="shared" si="189"/>
        <v>0</v>
      </c>
      <c r="CV117" s="1">
        <f t="shared" si="190"/>
        <v>5.8</v>
      </c>
      <c r="CW117" s="176">
        <v>0</v>
      </c>
      <c r="CX117" s="2">
        <f>IF(CW117&gt;0,Weightings!$M$11*AR117,0)</f>
        <v>0</v>
      </c>
      <c r="CY117" s="2">
        <f t="shared" si="178"/>
        <v>0</v>
      </c>
      <c r="CZ117" s="108" t="s">
        <v>409</v>
      </c>
    </row>
    <row r="118" spans="1:104">
      <c r="A118" s="82">
        <v>316</v>
      </c>
      <c r="B118" s="4" t="s">
        <v>52</v>
      </c>
      <c r="C118" s="4" t="s">
        <v>745</v>
      </c>
      <c r="D118" s="1">
        <v>190.5</v>
      </c>
      <c r="E118" s="1">
        <v>0</v>
      </c>
      <c r="F118" s="1">
        <f t="shared" si="187"/>
        <v>190.5</v>
      </c>
      <c r="G118" s="1">
        <v>193.5</v>
      </c>
      <c r="H118" s="1">
        <v>0</v>
      </c>
      <c r="I118" s="1">
        <f t="shared" si="142"/>
        <v>193.5</v>
      </c>
      <c r="J118" s="1">
        <f t="shared" si="143"/>
        <v>187.4</v>
      </c>
      <c r="K118" s="1">
        <f>IF(ISNA(VLOOKUP($CZ118,'Audit Values'!$A$2:$AE$439,2,FALSE)),'Preliminary SO66'!B115,VLOOKUP($CZ118,'Audit Values'!$A$2:$AE$439,31,FALSE))</f>
        <v>187.4</v>
      </c>
      <c r="L118" s="1">
        <f t="shared" si="144"/>
        <v>193.5</v>
      </c>
      <c r="M118" s="1">
        <f>IF(ISNA(VLOOKUP($CZ118,'Audit Values'!$A$2:$AE$439,2,FALSE)),'Preliminary SO66'!Z115,VLOOKUP($CZ118,'Audit Values'!$A$2:$AE$439,26,FALSE))</f>
        <v>0</v>
      </c>
      <c r="N118" s="1">
        <f t="shared" si="145"/>
        <v>193.5</v>
      </c>
      <c r="O118" s="1">
        <f>IF(ISNA(VLOOKUP($CZ118,'Audit Values'!$A$2:$AE$439,2,FALSE)),'Preliminary SO66'!C115,IF(VLOOKUP($CZ118,'Audit Values'!$A$2:$AE$439,28,FALSE)="",VLOOKUP($CZ118,'Audit Values'!$A$2:$AE$439,3,FALSE),VLOOKUP($CZ118,'Audit Values'!$A$2:$AE$439,28,FALSE)))</f>
        <v>2</v>
      </c>
      <c r="P118" s="109">
        <f t="shared" si="146"/>
        <v>189.4</v>
      </c>
      <c r="Q118" s="110">
        <f t="shared" si="147"/>
        <v>189.4</v>
      </c>
      <c r="R118" s="111">
        <f t="shared" si="148"/>
        <v>189.4</v>
      </c>
      <c r="S118" s="1">
        <f t="shared" si="149"/>
        <v>195.5</v>
      </c>
      <c r="T118" s="1">
        <f t="shared" si="185"/>
        <v>0</v>
      </c>
      <c r="U118" s="1">
        <f t="shared" si="150"/>
        <v>148.80000000000001</v>
      </c>
      <c r="V118" s="1">
        <f t="shared" si="179"/>
        <v>148.80000000000001</v>
      </c>
      <c r="W118" s="1">
        <f t="shared" si="180"/>
        <v>0</v>
      </c>
      <c r="X118" s="1">
        <f>IF(ISNA(VLOOKUP($CZ118,'Audit Values'!$A$2:$AE$439,2,FALSE)),'Preliminary SO66'!D115,VLOOKUP($CZ118,'Audit Values'!$A$2:$AE$439,4,FALSE))</f>
        <v>11.9</v>
      </c>
      <c r="Y118" s="1">
        <f>ROUND((X118/6)*Weightings!$M$6,1)</f>
        <v>1</v>
      </c>
      <c r="Z118" s="1">
        <f>IF(ISNA(VLOOKUP($CZ118,'Audit Values'!$A$2:$AE$439,2,FALSE)),'Preliminary SO66'!F115,VLOOKUP($CZ118,'Audit Values'!$A$2:$AE$439,6,FALSE))</f>
        <v>62.4</v>
      </c>
      <c r="AA118" s="1">
        <f>ROUND((Z118/6)*Weightings!$M$7,1)</f>
        <v>4.0999999999999996</v>
      </c>
      <c r="AB118" s="2">
        <f>IF(ISNA(VLOOKUP($CZ118,'Audit Values'!$A$2:$AE$439,2,FALSE)),'Preliminary SO66'!H115,VLOOKUP($CZ118,'Audit Values'!$A$2:$AE$439,8,FALSE))</f>
        <v>92</v>
      </c>
      <c r="AC118" s="1">
        <f>ROUND(AB118*Weightings!$M$8,1)</f>
        <v>42</v>
      </c>
      <c r="AD118" s="1">
        <f t="shared" si="169"/>
        <v>7.8</v>
      </c>
      <c r="AE118" s="185">
        <v>12</v>
      </c>
      <c r="AF118" s="1">
        <f>AE118*Weightings!$M$9</f>
        <v>0.6</v>
      </c>
      <c r="AG118" s="1">
        <f>IF(ISNA(VLOOKUP($CZ118,'Audit Values'!$A$2:$AE$439,2,FALSE)),'Preliminary SO66'!L115,VLOOKUP($CZ118,'Audit Values'!$A$2:$AE$439,12,FALSE))</f>
        <v>0</v>
      </c>
      <c r="AH118" s="1">
        <f>ROUND(AG118*Weightings!$M$10,1)</f>
        <v>0</v>
      </c>
      <c r="AI118" s="1">
        <f>IF(ISNA(VLOOKUP($CZ118,'Audit Values'!$A$2:$AE$439,2,FALSE)),'Preliminary SO66'!O115,VLOOKUP($CZ118,'Audit Values'!$A$2:$AE$439,15,FALSE))</f>
        <v>74.5</v>
      </c>
      <c r="AJ118" s="1">
        <f t="shared" si="151"/>
        <v>25.4</v>
      </c>
      <c r="AK118" s="1">
        <f>CC118/Weightings!$M$5</f>
        <v>0</v>
      </c>
      <c r="AL118" s="1">
        <f>CD118/Weightings!$M$5</f>
        <v>0</v>
      </c>
      <c r="AM118" s="1">
        <f>CH118/Weightings!$M$5</f>
        <v>0</v>
      </c>
      <c r="AN118" s="1">
        <f t="shared" si="181"/>
        <v>0</v>
      </c>
      <c r="AO118" s="1">
        <f>IF(ISNA(VLOOKUP($CZ118,'Audit Values'!$A$2:$AE$439,2,FALSE)),'Preliminary SO66'!X115,VLOOKUP($CZ118,'Audit Values'!$A$2:$AE$439,24,FALSE))</f>
        <v>0</v>
      </c>
      <c r="AP118" s="188">
        <v>200783</v>
      </c>
      <c r="AQ118" s="113">
        <f>AP118/Weightings!$M$5</f>
        <v>52.3</v>
      </c>
      <c r="AR118" s="113">
        <f t="shared" si="152"/>
        <v>425.2</v>
      </c>
      <c r="AS118" s="1">
        <f t="shared" si="153"/>
        <v>477.5</v>
      </c>
      <c r="AT118" s="1">
        <f t="shared" si="154"/>
        <v>477.5</v>
      </c>
      <c r="AU118" s="2">
        <f t="shared" si="170"/>
        <v>0</v>
      </c>
      <c r="AV118" s="82">
        <f>IF(ISNA(VLOOKUP($CZ118,'Audit Values'!$A$2:$AC$360,2,FALSE)),"",IF(AND(Weightings!H118&gt;0,VLOOKUP($CZ118,'Audit Values'!$A$2:$AC$360,29,FALSE)&lt;Weightings!H118),Weightings!H118,VLOOKUP($CZ118,'Audit Values'!$A$2:$AC$360,29,FALSE)))</f>
        <v>6</v>
      </c>
      <c r="AW118" s="82" t="str">
        <f>IF(ISNA(VLOOKUP($CZ118,'Audit Values'!$A$2:$AD$360,2,FALSE)),"",VLOOKUP($CZ118,'Audit Values'!$A$2:$AD$360,30,FALSE))</f>
        <v>A</v>
      </c>
      <c r="AX118" s="82" t="str">
        <f>IF(Weightings!G118="","",IF(Weightings!I118="Pending","PX","R"))</f>
        <v/>
      </c>
      <c r="AY118" s="114">
        <f>AR118*Weightings!$M$5+AU118</f>
        <v>1631918</v>
      </c>
      <c r="AZ118" s="2">
        <f>AT118*Weightings!$M$5+AU118</f>
        <v>1832645</v>
      </c>
      <c r="BA118" s="2">
        <f>IF(Weightings!G118&gt;0,Weightings!G118,'Preliminary SO66'!AB115)</f>
        <v>1925525</v>
      </c>
      <c r="BB118" s="2">
        <f t="shared" si="155"/>
        <v>1832645</v>
      </c>
      <c r="BC118" s="124"/>
      <c r="BD118" s="124">
        <f>Weightings!E118</f>
        <v>0</v>
      </c>
      <c r="BE118" s="124">
        <f>Weightings!F118</f>
        <v>0</v>
      </c>
      <c r="BF118" s="2">
        <f t="shared" si="156"/>
        <v>0</v>
      </c>
      <c r="BG118" s="2">
        <f t="shared" si="157"/>
        <v>1832645</v>
      </c>
      <c r="BH118" s="2">
        <f>MAX(ROUND(((AR118-AO118)*4433)+AP118,0),ROUND(((AR118-AO118)*4433)+Weightings!B118,0))</f>
        <v>2226773</v>
      </c>
      <c r="BI118" s="174">
        <v>0.3</v>
      </c>
      <c r="BJ118" s="2">
        <f t="shared" si="188"/>
        <v>668032</v>
      </c>
      <c r="BK118" s="173">
        <v>625000</v>
      </c>
      <c r="BL118" s="2">
        <f t="shared" si="158"/>
        <v>625000</v>
      </c>
      <c r="BM118" s="3">
        <f t="shared" si="171"/>
        <v>0.28070000000000001</v>
      </c>
      <c r="BN118" s="1">
        <f t="shared" si="159"/>
        <v>0</v>
      </c>
      <c r="BO118" s="4" t="b">
        <f t="shared" si="160"/>
        <v>1</v>
      </c>
      <c r="BP118" s="5">
        <f t="shared" si="161"/>
        <v>922.053</v>
      </c>
      <c r="BQ118" s="6">
        <f t="shared" si="140"/>
        <v>0.76118699999999995</v>
      </c>
      <c r="BR118" s="4">
        <f t="shared" si="162"/>
        <v>148.80000000000001</v>
      </c>
      <c r="BS118" s="4" t="b">
        <f t="shared" si="163"/>
        <v>0</v>
      </c>
      <c r="BT118" s="4">
        <f t="shared" si="164"/>
        <v>0</v>
      </c>
      <c r="BU118" s="6">
        <f t="shared" si="141"/>
        <v>0</v>
      </c>
      <c r="BV118" s="1">
        <f t="shared" si="165"/>
        <v>0</v>
      </c>
      <c r="BW118" s="1">
        <f t="shared" si="166"/>
        <v>0</v>
      </c>
      <c r="BX118" s="116">
        <v>242</v>
      </c>
      <c r="BY118" s="7">
        <f t="shared" si="172"/>
        <v>0.31</v>
      </c>
      <c r="BZ118" s="7">
        <f>IF(ROUND((Weightings!$P$5*BY118^Weightings!$P$6*Weightings!$P$8 ),2)&lt;Weightings!$P$7,Weightings!$P$7,ROUND((Weightings!$P$5*BY118^Weightings!$P$6*Weightings!$P$8 ),2))</f>
        <v>1309.17</v>
      </c>
      <c r="CA118" s="8">
        <f>ROUND(BZ118/Weightings!$M$5,4)</f>
        <v>0.34110000000000001</v>
      </c>
      <c r="CB118" s="1">
        <f t="shared" si="173"/>
        <v>25.4</v>
      </c>
      <c r="CC118" s="173">
        <v>0</v>
      </c>
      <c r="CD118" s="173">
        <v>0</v>
      </c>
      <c r="CE118" s="173">
        <v>0</v>
      </c>
      <c r="CF118" s="177">
        <v>0</v>
      </c>
      <c r="CG118" s="2">
        <f>AS118*Weightings!$M$5*CF118</f>
        <v>0</v>
      </c>
      <c r="CH118" s="2">
        <f t="shared" si="174"/>
        <v>0</v>
      </c>
      <c r="CI118" s="117">
        <f t="shared" si="167"/>
        <v>0.47099999999999997</v>
      </c>
      <c r="CJ118" s="4">
        <f t="shared" si="168"/>
        <v>0.8</v>
      </c>
      <c r="CK118" s="1">
        <f t="shared" si="175"/>
        <v>0</v>
      </c>
      <c r="CL118" s="1">
        <f t="shared" si="176"/>
        <v>0</v>
      </c>
      <c r="CM118" s="1">
        <f t="shared" si="177"/>
        <v>7.8</v>
      </c>
      <c r="CN118" s="1">
        <f>IF(ISNA(VLOOKUP($CZ118,'Audit Values'!$A$2:$AE$439,2,FALSE)),'Preliminary SO66'!T115,VLOOKUP($CZ118,'Audit Values'!$A$2:$AE$439,20,FALSE))</f>
        <v>0</v>
      </c>
      <c r="CO118" s="1">
        <f t="shared" si="182"/>
        <v>0</v>
      </c>
      <c r="CP118" s="183">
        <v>0</v>
      </c>
      <c r="CQ118" s="1">
        <f t="shared" si="183"/>
        <v>0</v>
      </c>
      <c r="CR118" s="2">
        <f>IF(ISNA(VLOOKUP($CZ118,'Audit Values'!$A$2:$AE$439,2,FALSE)),'Preliminary SO66'!V115,VLOOKUP($CZ118,'Audit Values'!$A$2:$AE$439,22,FALSE))</f>
        <v>0</v>
      </c>
      <c r="CS118" s="1">
        <f t="shared" si="184"/>
        <v>0</v>
      </c>
      <c r="CT118" s="2">
        <f>IF(ISNA(VLOOKUP($CZ118,'Audit Values'!$A$2:$AE$439,2,FALSE)),'Preliminary SO66'!W115,VLOOKUP($CZ118,'Audit Values'!$A$2:$AE$439,23,FALSE))</f>
        <v>0</v>
      </c>
      <c r="CU118" s="1">
        <f t="shared" si="189"/>
        <v>0</v>
      </c>
      <c r="CV118" s="1">
        <f t="shared" si="190"/>
        <v>0</v>
      </c>
      <c r="CW118" s="176">
        <v>0</v>
      </c>
      <c r="CX118" s="2">
        <f>IF(CW118&gt;0,Weightings!$M$11*AR118,0)</f>
        <v>0</v>
      </c>
      <c r="CY118" s="2">
        <f t="shared" si="178"/>
        <v>0</v>
      </c>
      <c r="CZ118" s="108" t="s">
        <v>410</v>
      </c>
    </row>
    <row r="119" spans="1:104">
      <c r="A119" s="82">
        <v>320</v>
      </c>
      <c r="B119" s="4" t="s">
        <v>54</v>
      </c>
      <c r="C119" s="4" t="s">
        <v>746</v>
      </c>
      <c r="D119" s="1">
        <v>1358.4</v>
      </c>
      <c r="E119" s="1">
        <v>0</v>
      </c>
      <c r="F119" s="1">
        <f t="shared" si="187"/>
        <v>1358.4</v>
      </c>
      <c r="G119" s="1">
        <v>1446</v>
      </c>
      <c r="H119" s="1">
        <v>0</v>
      </c>
      <c r="I119" s="1">
        <f t="shared" si="142"/>
        <v>1446</v>
      </c>
      <c r="J119" s="1">
        <f t="shared" si="143"/>
        <v>1464.6</v>
      </c>
      <c r="K119" s="1">
        <f>IF(ISNA(VLOOKUP($CZ119,'Audit Values'!$A$2:$AE$439,2,FALSE)),'Preliminary SO66'!B116,VLOOKUP($CZ119,'Audit Values'!$A$2:$AE$439,31,FALSE))</f>
        <v>1464.6</v>
      </c>
      <c r="L119" s="1">
        <f t="shared" si="144"/>
        <v>1464.6</v>
      </c>
      <c r="M119" s="1">
        <f>IF(ISNA(VLOOKUP($CZ119,'Audit Values'!$A$2:$AE$439,2,FALSE)),'Preliminary SO66'!Z116,VLOOKUP($CZ119,'Audit Values'!$A$2:$AE$439,26,FALSE))</f>
        <v>0</v>
      </c>
      <c r="N119" s="1">
        <f t="shared" si="145"/>
        <v>1464.6</v>
      </c>
      <c r="O119" s="1">
        <f>IF(ISNA(VLOOKUP($CZ119,'Audit Values'!$A$2:$AE$439,2,FALSE)),'Preliminary SO66'!C116,IF(VLOOKUP($CZ119,'Audit Values'!$A$2:$AE$439,28,FALSE)="",VLOOKUP($CZ119,'Audit Values'!$A$2:$AE$439,3,FALSE),VLOOKUP($CZ119,'Audit Values'!$A$2:$AE$439,28,FALSE)))</f>
        <v>0</v>
      </c>
      <c r="P119" s="109">
        <f t="shared" si="146"/>
        <v>1464.6</v>
      </c>
      <c r="Q119" s="110">
        <f t="shared" si="147"/>
        <v>1464.6</v>
      </c>
      <c r="R119" s="111">
        <f t="shared" si="148"/>
        <v>1464.6</v>
      </c>
      <c r="S119" s="1">
        <f t="shared" si="149"/>
        <v>1464.6</v>
      </c>
      <c r="T119" s="1">
        <f t="shared" si="185"/>
        <v>0</v>
      </c>
      <c r="U119" s="1">
        <f t="shared" si="150"/>
        <v>129.6</v>
      </c>
      <c r="V119" s="1">
        <f>MAX(BN119,BR119,BV119)</f>
        <v>129.6</v>
      </c>
      <c r="W119" s="1">
        <f t="shared" si="180"/>
        <v>0</v>
      </c>
      <c r="X119" s="1">
        <f>IF(ISNA(VLOOKUP($CZ119,'Audit Values'!$A$2:$AE$439,2,FALSE)),'Preliminary SO66'!D116,VLOOKUP($CZ119,'Audit Values'!$A$2:$AE$439,4,FALSE))</f>
        <v>325</v>
      </c>
      <c r="Y119" s="1">
        <f>ROUND((X119/6)*Weightings!$M$6,1)</f>
        <v>27.1</v>
      </c>
      <c r="Z119" s="1">
        <f>IF(ISNA(VLOOKUP($CZ119,'Audit Values'!$A$2:$AE$439,2,FALSE)),'Preliminary SO66'!F116,VLOOKUP($CZ119,'Audit Values'!$A$2:$AE$439,6,FALSE))</f>
        <v>20.8</v>
      </c>
      <c r="AA119" s="1">
        <f>ROUND((Z119/6)*Weightings!$M$7,1)</f>
        <v>1.4</v>
      </c>
      <c r="AB119" s="2">
        <f>IF(ISNA(VLOOKUP($CZ119,'Audit Values'!$A$2:$AE$439,2,FALSE)),'Preliminary SO66'!H116,VLOOKUP($CZ119,'Audit Values'!$A$2:$AE$439,8,FALSE))</f>
        <v>369</v>
      </c>
      <c r="AC119" s="1">
        <f>ROUND(AB119*Weightings!$M$8,1)</f>
        <v>168.3</v>
      </c>
      <c r="AD119" s="1">
        <f t="shared" si="169"/>
        <v>0</v>
      </c>
      <c r="AE119" s="185">
        <v>86</v>
      </c>
      <c r="AF119" s="1">
        <f>AE119*Weightings!$M$9</f>
        <v>4</v>
      </c>
      <c r="AG119" s="1">
        <f>IF(ISNA(VLOOKUP($CZ119,'Audit Values'!$A$2:$AE$439,2,FALSE)),'Preliminary SO66'!L116,VLOOKUP($CZ119,'Audit Values'!$A$2:$AE$439,12,FALSE))</f>
        <v>0</v>
      </c>
      <c r="AH119" s="1">
        <f>ROUND(AG119*Weightings!$M$10,1)</f>
        <v>0</v>
      </c>
      <c r="AI119" s="1">
        <f>IF(ISNA(VLOOKUP($CZ119,'Audit Values'!$A$2:$AE$439,2,FALSE)),'Preliminary SO66'!O116,VLOOKUP($CZ119,'Audit Values'!$A$2:$AE$439,15,FALSE))</f>
        <v>409</v>
      </c>
      <c r="AJ119" s="1">
        <f t="shared" si="151"/>
        <v>90</v>
      </c>
      <c r="AK119" s="1">
        <f>CC119/Weightings!$M$5</f>
        <v>0</v>
      </c>
      <c r="AL119" s="1">
        <f>CD119/Weightings!$M$5</f>
        <v>0</v>
      </c>
      <c r="AM119" s="1">
        <f>CH119/Weightings!$M$5</f>
        <v>0</v>
      </c>
      <c r="AN119" s="1">
        <f t="shared" si="181"/>
        <v>0</v>
      </c>
      <c r="AO119" s="1">
        <f>IF(ISNA(VLOOKUP($CZ119,'Audit Values'!$A$2:$AE$439,2,FALSE)),'Preliminary SO66'!X116,VLOOKUP($CZ119,'Audit Values'!$A$2:$AE$439,24,FALSE))</f>
        <v>1</v>
      </c>
      <c r="AP119" s="188">
        <v>1720735</v>
      </c>
      <c r="AQ119" s="113">
        <f>AP119/Weightings!$M$5</f>
        <v>448.3</v>
      </c>
      <c r="AR119" s="113">
        <f t="shared" si="152"/>
        <v>1886</v>
      </c>
      <c r="AS119" s="1">
        <f t="shared" si="153"/>
        <v>2334.3000000000002</v>
      </c>
      <c r="AT119" s="1">
        <f t="shared" si="154"/>
        <v>2334.3000000000002</v>
      </c>
      <c r="AU119" s="2">
        <f t="shared" si="170"/>
        <v>0</v>
      </c>
      <c r="AV119" s="82">
        <f>IF(ISNA(VLOOKUP($CZ119,'Audit Values'!$A$2:$AC$360,2,FALSE)),"",IF(AND(Weightings!H119&gt;0,VLOOKUP($CZ119,'Audit Values'!$A$2:$AC$360,29,FALSE)&lt;Weightings!H119),Weightings!H119,VLOOKUP($CZ119,'Audit Values'!$A$2:$AC$360,29,FALSE)))</f>
        <v>15</v>
      </c>
      <c r="AW119" s="82" t="str">
        <f>IF(ISNA(VLOOKUP($CZ119,'Audit Values'!$A$2:$AD$360,2,FALSE)),"",VLOOKUP($CZ119,'Audit Values'!$A$2:$AD$360,30,FALSE))</f>
        <v>A</v>
      </c>
      <c r="AX119" s="82" t="str">
        <f>IF(Weightings!G119="","",IF(Weightings!I119="Pending","PX","R"))</f>
        <v/>
      </c>
      <c r="AY119" s="114">
        <f>AR119*Weightings!$M$5+AU119</f>
        <v>7238468</v>
      </c>
      <c r="AZ119" s="2">
        <f>AT119*Weightings!$M$5+AU119</f>
        <v>8959043</v>
      </c>
      <c r="BA119" s="2">
        <f>IF(Weightings!G119&gt;0,Weightings!G119,'Preliminary SO66'!AB116)</f>
        <v>9353974</v>
      </c>
      <c r="BB119" s="2">
        <f t="shared" si="155"/>
        <v>8959043</v>
      </c>
      <c r="BC119" s="124"/>
      <c r="BD119" s="124">
        <f>Weightings!E119</f>
        <v>0</v>
      </c>
      <c r="BE119" s="124">
        <f>Weightings!F119</f>
        <v>0</v>
      </c>
      <c r="BF119" s="2">
        <f t="shared" si="156"/>
        <v>0</v>
      </c>
      <c r="BG119" s="2">
        <f t="shared" si="157"/>
        <v>8959043</v>
      </c>
      <c r="BH119" s="2">
        <f>MAX(ROUND(((AR119-AO119)*4433)+AP119,0),ROUND(((AR119-AO119)*4433)+Weightings!B119,0))</f>
        <v>10076940</v>
      </c>
      <c r="BI119" s="174">
        <v>0.3</v>
      </c>
      <c r="BJ119" s="2">
        <f t="shared" si="188"/>
        <v>3023082</v>
      </c>
      <c r="BK119" s="173">
        <v>3148577</v>
      </c>
      <c r="BL119" s="2">
        <f t="shared" si="158"/>
        <v>3023082</v>
      </c>
      <c r="BM119" s="3">
        <f t="shared" si="171"/>
        <v>0.3</v>
      </c>
      <c r="BN119" s="1">
        <f t="shared" si="159"/>
        <v>0</v>
      </c>
      <c r="BO119" s="4" t="b">
        <f t="shared" si="160"/>
        <v>0</v>
      </c>
      <c r="BP119" s="5">
        <f t="shared" si="161"/>
        <v>0</v>
      </c>
      <c r="BQ119" s="6">
        <f t="shared" si="140"/>
        <v>0</v>
      </c>
      <c r="BR119" s="4">
        <f t="shared" si="162"/>
        <v>0</v>
      </c>
      <c r="BS119" s="4" t="b">
        <f t="shared" si="163"/>
        <v>1</v>
      </c>
      <c r="BT119" s="4">
        <f t="shared" si="164"/>
        <v>1441.1925000000001</v>
      </c>
      <c r="BU119" s="6">
        <f t="shared" si="141"/>
        <v>8.8514999999999996E-2</v>
      </c>
      <c r="BV119" s="1">
        <f t="shared" si="165"/>
        <v>129.6</v>
      </c>
      <c r="BW119" s="1">
        <f t="shared" si="166"/>
        <v>0</v>
      </c>
      <c r="BX119" s="116">
        <v>193</v>
      </c>
      <c r="BY119" s="7">
        <f t="shared" si="172"/>
        <v>2.12</v>
      </c>
      <c r="BZ119" s="7">
        <f>IF(ROUND((Weightings!$P$5*BY119^Weightings!$P$6*Weightings!$P$8 ),2)&lt;Weightings!$P$7,Weightings!$P$7,ROUND((Weightings!$P$5*BY119^Weightings!$P$6*Weightings!$P$8 ),2))</f>
        <v>844.38</v>
      </c>
      <c r="CA119" s="8">
        <f>ROUND(BZ119/Weightings!$M$5,4)</f>
        <v>0.22</v>
      </c>
      <c r="CB119" s="1">
        <f t="shared" si="173"/>
        <v>90</v>
      </c>
      <c r="CC119" s="173">
        <v>0</v>
      </c>
      <c r="CD119" s="173">
        <v>0</v>
      </c>
      <c r="CE119" s="173">
        <v>0</v>
      </c>
      <c r="CF119" s="177">
        <v>0</v>
      </c>
      <c r="CG119" s="2">
        <f>AS119*Weightings!$M$5*CF119</f>
        <v>0</v>
      </c>
      <c r="CH119" s="2">
        <f t="shared" si="174"/>
        <v>0</v>
      </c>
      <c r="CI119" s="117">
        <f t="shared" si="167"/>
        <v>0.252</v>
      </c>
      <c r="CJ119" s="4">
        <f t="shared" si="168"/>
        <v>7.6</v>
      </c>
      <c r="CK119" s="1">
        <f t="shared" si="175"/>
        <v>0</v>
      </c>
      <c r="CL119" s="1">
        <f t="shared" si="176"/>
        <v>0</v>
      </c>
      <c r="CM119" s="1">
        <f t="shared" si="177"/>
        <v>0</v>
      </c>
      <c r="CN119" s="1">
        <f>IF(ISNA(VLOOKUP($CZ119,'Audit Values'!$A$2:$AE$439,2,FALSE)),'Preliminary SO66'!T116,VLOOKUP($CZ119,'Audit Values'!$A$2:$AE$439,20,FALSE))</f>
        <v>0</v>
      </c>
      <c r="CO119" s="1">
        <f t="shared" si="182"/>
        <v>0</v>
      </c>
      <c r="CP119" s="183">
        <v>0</v>
      </c>
      <c r="CQ119" s="1">
        <f t="shared" si="183"/>
        <v>0</v>
      </c>
      <c r="CR119" s="2">
        <f>IF(ISNA(VLOOKUP($CZ119,'Audit Values'!$A$2:$AE$439,2,FALSE)),'Preliminary SO66'!V116,VLOOKUP($CZ119,'Audit Values'!$A$2:$AE$439,22,FALSE))</f>
        <v>0</v>
      </c>
      <c r="CS119" s="1">
        <f t="shared" si="184"/>
        <v>0</v>
      </c>
      <c r="CT119" s="2">
        <f>IF(ISNA(VLOOKUP($CZ119,'Audit Values'!$A$2:$AE$439,2,FALSE)),'Preliminary SO66'!W116,VLOOKUP($CZ119,'Audit Values'!$A$2:$AE$439,23,FALSE))</f>
        <v>0</v>
      </c>
      <c r="CU119" s="1">
        <f t="shared" si="189"/>
        <v>0</v>
      </c>
      <c r="CV119" s="1">
        <f t="shared" si="190"/>
        <v>0</v>
      </c>
      <c r="CW119" s="176">
        <v>0</v>
      </c>
      <c r="CX119" s="2">
        <f>IF(CW119&gt;0,Weightings!$M$11*AR119,0)</f>
        <v>0</v>
      </c>
      <c r="CY119" s="2">
        <f t="shared" si="178"/>
        <v>0</v>
      </c>
      <c r="CZ119" s="108" t="s">
        <v>411</v>
      </c>
    </row>
    <row r="120" spans="1:104">
      <c r="A120" s="82">
        <v>321</v>
      </c>
      <c r="B120" s="4" t="s">
        <v>54</v>
      </c>
      <c r="C120" s="4" t="s">
        <v>747</v>
      </c>
      <c r="D120" s="1">
        <v>1099</v>
      </c>
      <c r="E120" s="1">
        <v>0</v>
      </c>
      <c r="F120" s="1">
        <f t="shared" si="187"/>
        <v>1099</v>
      </c>
      <c r="G120" s="1">
        <v>1110.2</v>
      </c>
      <c r="H120" s="1">
        <v>0</v>
      </c>
      <c r="I120" s="1">
        <f t="shared" si="142"/>
        <v>1110.2</v>
      </c>
      <c r="J120" s="1">
        <f t="shared" si="143"/>
        <v>1118.5</v>
      </c>
      <c r="K120" s="1">
        <f>IF(ISNA(VLOOKUP($CZ120,'Audit Values'!$A$2:$AE$439,2,FALSE)),'Preliminary SO66'!B117,VLOOKUP($CZ120,'Audit Values'!$A$2:$AE$439,31,FALSE))</f>
        <v>1118.5</v>
      </c>
      <c r="L120" s="1">
        <f t="shared" si="144"/>
        <v>1118.5</v>
      </c>
      <c r="M120" s="1">
        <f>IF(ISNA(VLOOKUP($CZ120,'Audit Values'!$A$2:$AE$439,2,FALSE)),'Preliminary SO66'!Z117,VLOOKUP($CZ120,'Audit Values'!$A$2:$AE$439,26,FALSE))</f>
        <v>0</v>
      </c>
      <c r="N120" s="1">
        <f t="shared" si="145"/>
        <v>1118.5</v>
      </c>
      <c r="O120" s="1">
        <f>IF(ISNA(VLOOKUP($CZ120,'Audit Values'!$A$2:$AE$439,2,FALSE)),'Preliminary SO66'!C117,IF(VLOOKUP($CZ120,'Audit Values'!$A$2:$AE$439,28,FALSE)="",VLOOKUP($CZ120,'Audit Values'!$A$2:$AE$439,3,FALSE),VLOOKUP($CZ120,'Audit Values'!$A$2:$AE$439,28,FALSE)))</f>
        <v>9</v>
      </c>
      <c r="P120" s="109">
        <f t="shared" si="146"/>
        <v>1127.5</v>
      </c>
      <c r="Q120" s="110">
        <f t="shared" si="147"/>
        <v>1127.5</v>
      </c>
      <c r="R120" s="111">
        <f t="shared" si="148"/>
        <v>1127.5</v>
      </c>
      <c r="S120" s="1">
        <f t="shared" si="149"/>
        <v>1127.5</v>
      </c>
      <c r="T120" s="1">
        <f t="shared" si="185"/>
        <v>0</v>
      </c>
      <c r="U120" s="1">
        <f t="shared" si="150"/>
        <v>228.9</v>
      </c>
      <c r="V120" s="1">
        <f t="shared" si="179"/>
        <v>228.9</v>
      </c>
      <c r="W120" s="1">
        <f t="shared" si="180"/>
        <v>0</v>
      </c>
      <c r="X120" s="1">
        <f>IF(ISNA(VLOOKUP($CZ120,'Audit Values'!$A$2:$AE$439,2,FALSE)),'Preliminary SO66'!D117,VLOOKUP($CZ120,'Audit Values'!$A$2:$AE$439,4,FALSE))</f>
        <v>255.9</v>
      </c>
      <c r="Y120" s="1">
        <f>ROUND((X120/6)*Weightings!$M$6,1)</f>
        <v>21.3</v>
      </c>
      <c r="Z120" s="1">
        <f>IF(ISNA(VLOOKUP($CZ120,'Audit Values'!$A$2:$AE$439,2,FALSE)),'Preliminary SO66'!F117,VLOOKUP($CZ120,'Audit Values'!$A$2:$AE$439,6,FALSE))</f>
        <v>0</v>
      </c>
      <c r="AA120" s="1">
        <f>ROUND((Z120/6)*Weightings!$M$7,1)</f>
        <v>0</v>
      </c>
      <c r="AB120" s="2">
        <f>IF(ISNA(VLOOKUP($CZ120,'Audit Values'!$A$2:$AE$439,2,FALSE)),'Preliminary SO66'!H117,VLOOKUP($CZ120,'Audit Values'!$A$2:$AE$439,8,FALSE))</f>
        <v>376</v>
      </c>
      <c r="AC120" s="1">
        <f>ROUND(AB120*Weightings!$M$8,1)</f>
        <v>171.5</v>
      </c>
      <c r="AD120" s="1">
        <f t="shared" si="169"/>
        <v>0</v>
      </c>
      <c r="AE120" s="185">
        <v>58</v>
      </c>
      <c r="AF120" s="1">
        <f>AE120*Weightings!$M$9</f>
        <v>2.7</v>
      </c>
      <c r="AG120" s="1">
        <f>IF(ISNA(VLOOKUP($CZ120,'Audit Values'!$A$2:$AE$439,2,FALSE)),'Preliminary SO66'!L117,VLOOKUP($CZ120,'Audit Values'!$A$2:$AE$439,12,FALSE))</f>
        <v>0</v>
      </c>
      <c r="AH120" s="1">
        <f>ROUND(AG120*Weightings!$M$10,1)</f>
        <v>0</v>
      </c>
      <c r="AI120" s="1">
        <f>IF(ISNA(VLOOKUP($CZ120,'Audit Values'!$A$2:$AE$439,2,FALSE)),'Preliminary SO66'!O117,VLOOKUP($CZ120,'Audit Values'!$A$2:$AE$439,15,FALSE))</f>
        <v>409</v>
      </c>
      <c r="AJ120" s="1">
        <f t="shared" si="151"/>
        <v>100.2</v>
      </c>
      <c r="AK120" s="1">
        <f>CC120/Weightings!$M$5</f>
        <v>0</v>
      </c>
      <c r="AL120" s="1">
        <f>CD120/Weightings!$M$5</f>
        <v>0</v>
      </c>
      <c r="AM120" s="1">
        <f>CH120/Weightings!$M$5</f>
        <v>0</v>
      </c>
      <c r="AN120" s="1">
        <f t="shared" si="181"/>
        <v>0</v>
      </c>
      <c r="AO120" s="1">
        <f>IF(ISNA(VLOOKUP($CZ120,'Audit Values'!$A$2:$AE$439,2,FALSE)),'Preliminary SO66'!X117,VLOOKUP($CZ120,'Audit Values'!$A$2:$AE$439,24,FALSE))</f>
        <v>0</v>
      </c>
      <c r="AP120" s="188">
        <v>1395731</v>
      </c>
      <c r="AQ120" s="113">
        <f>AP120/Weightings!$M$5</f>
        <v>363.7</v>
      </c>
      <c r="AR120" s="113">
        <f t="shared" si="152"/>
        <v>1652.1</v>
      </c>
      <c r="AS120" s="1">
        <f t="shared" si="153"/>
        <v>2015.8</v>
      </c>
      <c r="AT120" s="1">
        <f t="shared" si="154"/>
        <v>2015.8</v>
      </c>
      <c r="AU120" s="2">
        <f t="shared" si="170"/>
        <v>0</v>
      </c>
      <c r="AV120" s="82">
        <f>IF(ISNA(VLOOKUP($CZ120,'Audit Values'!$A$2:$AC$360,2,FALSE)),"",IF(AND(Weightings!H120&gt;0,VLOOKUP($CZ120,'Audit Values'!$A$2:$AC$360,29,FALSE)&lt;Weightings!H120),Weightings!H120,VLOOKUP($CZ120,'Audit Values'!$A$2:$AC$360,29,FALSE)))</f>
        <v>27</v>
      </c>
      <c r="AW120" s="82" t="str">
        <f>IF(ISNA(VLOOKUP($CZ120,'Audit Values'!$A$2:$AD$360,2,FALSE)),"",VLOOKUP($CZ120,'Audit Values'!$A$2:$AD$360,30,FALSE))</f>
        <v>A</v>
      </c>
      <c r="AX120" s="82" t="str">
        <f>IF(Weightings!G120="","",IF(Weightings!I120="Pending","PX","R"))</f>
        <v>R</v>
      </c>
      <c r="AY120" s="114">
        <f>AR120*Weightings!$M$5+AU120</f>
        <v>6340760</v>
      </c>
      <c r="AZ120" s="2">
        <f>AT120*Weightings!$M$5+AU120</f>
        <v>7736640</v>
      </c>
      <c r="BA120" s="2">
        <f>IF(Weightings!G120&gt;0,Weightings!G120,'Preliminary SO66'!AB117)</f>
        <v>7768112</v>
      </c>
      <c r="BB120" s="2">
        <f t="shared" si="155"/>
        <v>7736640</v>
      </c>
      <c r="BC120" s="124"/>
      <c r="BD120" s="124">
        <f>Weightings!E120</f>
        <v>0</v>
      </c>
      <c r="BE120" s="124">
        <f>Weightings!F120</f>
        <v>0</v>
      </c>
      <c r="BF120" s="2">
        <f t="shared" si="156"/>
        <v>0</v>
      </c>
      <c r="BG120" s="2">
        <f t="shared" si="157"/>
        <v>7736640</v>
      </c>
      <c r="BH120" s="2">
        <f>MAX(ROUND(((AR120-AO120)*4433)+AP120,0),ROUND(((AR120-AO120)*4433)+Weightings!B120,0))</f>
        <v>8719490</v>
      </c>
      <c r="BI120" s="174">
        <v>0.3</v>
      </c>
      <c r="BJ120" s="2">
        <f t="shared" si="188"/>
        <v>2615847</v>
      </c>
      <c r="BK120" s="173">
        <v>2621411</v>
      </c>
      <c r="BL120" s="2">
        <f t="shared" si="158"/>
        <v>2615847</v>
      </c>
      <c r="BM120" s="3">
        <f t="shared" si="171"/>
        <v>0.3</v>
      </c>
      <c r="BN120" s="1">
        <f t="shared" si="159"/>
        <v>0</v>
      </c>
      <c r="BO120" s="4" t="b">
        <f t="shared" si="160"/>
        <v>0</v>
      </c>
      <c r="BP120" s="5">
        <f t="shared" si="161"/>
        <v>0</v>
      </c>
      <c r="BQ120" s="6">
        <f t="shared" si="140"/>
        <v>0</v>
      </c>
      <c r="BR120" s="4">
        <f t="shared" si="162"/>
        <v>0</v>
      </c>
      <c r="BS120" s="4" t="b">
        <f t="shared" si="163"/>
        <v>1</v>
      </c>
      <c r="BT120" s="4">
        <f t="shared" si="164"/>
        <v>1024.0313000000001</v>
      </c>
      <c r="BU120" s="6">
        <f t="shared" si="141"/>
        <v>0.203044</v>
      </c>
      <c r="BV120" s="1">
        <f t="shared" si="165"/>
        <v>228.9</v>
      </c>
      <c r="BW120" s="1">
        <f t="shared" si="166"/>
        <v>0</v>
      </c>
      <c r="BX120" s="116">
        <v>311</v>
      </c>
      <c r="BY120" s="7">
        <f t="shared" si="172"/>
        <v>1.32</v>
      </c>
      <c r="BZ120" s="7">
        <f>IF(ROUND((Weightings!$P$5*BY120^Weightings!$P$6*Weightings!$P$8 ),2)&lt;Weightings!$P$7,Weightings!$P$7,ROUND((Weightings!$P$5*BY120^Weightings!$P$6*Weightings!$P$8 ),2))</f>
        <v>940.74</v>
      </c>
      <c r="CA120" s="8">
        <f>ROUND(BZ120/Weightings!$M$5,4)</f>
        <v>0.24510000000000001</v>
      </c>
      <c r="CB120" s="1">
        <f t="shared" si="173"/>
        <v>100.2</v>
      </c>
      <c r="CC120" s="173">
        <v>0</v>
      </c>
      <c r="CD120" s="173">
        <v>0</v>
      </c>
      <c r="CE120" s="173">
        <v>0</v>
      </c>
      <c r="CF120" s="177">
        <v>0</v>
      </c>
      <c r="CG120" s="2">
        <f>AS120*Weightings!$M$5*CF120</f>
        <v>0</v>
      </c>
      <c r="CH120" s="2">
        <f t="shared" si="174"/>
        <v>0</v>
      </c>
      <c r="CI120" s="117">
        <f t="shared" si="167"/>
        <v>0.33300000000000002</v>
      </c>
      <c r="CJ120" s="4">
        <f t="shared" si="168"/>
        <v>3.6</v>
      </c>
      <c r="CK120" s="1">
        <f t="shared" si="175"/>
        <v>0</v>
      </c>
      <c r="CL120" s="1">
        <f t="shared" si="176"/>
        <v>0</v>
      </c>
      <c r="CM120" s="1">
        <f t="shared" si="177"/>
        <v>0</v>
      </c>
      <c r="CN120" s="1">
        <f>IF(ISNA(VLOOKUP($CZ120,'Audit Values'!$A$2:$AE$439,2,FALSE)),'Preliminary SO66'!T117,VLOOKUP($CZ120,'Audit Values'!$A$2:$AE$439,20,FALSE))</f>
        <v>0</v>
      </c>
      <c r="CO120" s="1">
        <f t="shared" si="182"/>
        <v>0</v>
      </c>
      <c r="CP120" s="183">
        <v>0</v>
      </c>
      <c r="CQ120" s="1">
        <f t="shared" si="183"/>
        <v>0</v>
      </c>
      <c r="CR120" s="2">
        <f>IF(ISNA(VLOOKUP($CZ120,'Audit Values'!$A$2:$AE$439,2,FALSE)),'Preliminary SO66'!V117,VLOOKUP($CZ120,'Audit Values'!$A$2:$AE$439,22,FALSE))</f>
        <v>0</v>
      </c>
      <c r="CS120" s="1">
        <f t="shared" si="184"/>
        <v>0</v>
      </c>
      <c r="CT120" s="2">
        <f>IF(ISNA(VLOOKUP($CZ120,'Audit Values'!$A$2:$AE$439,2,FALSE)),'Preliminary SO66'!W117,VLOOKUP($CZ120,'Audit Values'!$A$2:$AE$439,23,FALSE))</f>
        <v>0</v>
      </c>
      <c r="CU120" s="1">
        <f t="shared" si="189"/>
        <v>0</v>
      </c>
      <c r="CV120" s="1">
        <f t="shared" si="190"/>
        <v>0</v>
      </c>
      <c r="CW120" s="176">
        <v>0</v>
      </c>
      <c r="CX120" s="2">
        <f>IF(CW120&gt;0,Weightings!$M$11*AR120,0)</f>
        <v>0</v>
      </c>
      <c r="CY120" s="2">
        <f t="shared" si="178"/>
        <v>0</v>
      </c>
      <c r="CZ120" s="108" t="s">
        <v>412</v>
      </c>
    </row>
    <row r="121" spans="1:104">
      <c r="A121" s="82">
        <v>322</v>
      </c>
      <c r="B121" s="4" t="s">
        <v>54</v>
      </c>
      <c r="C121" s="4" t="s">
        <v>748</v>
      </c>
      <c r="D121" s="1">
        <v>316.5</v>
      </c>
      <c r="E121" s="1">
        <v>0</v>
      </c>
      <c r="F121" s="1">
        <f t="shared" si="187"/>
        <v>316.5</v>
      </c>
      <c r="G121" s="1">
        <v>320.5</v>
      </c>
      <c r="H121" s="1">
        <v>0</v>
      </c>
      <c r="I121" s="1">
        <f t="shared" si="142"/>
        <v>320.5</v>
      </c>
      <c r="J121" s="1">
        <f t="shared" si="143"/>
        <v>304</v>
      </c>
      <c r="K121" s="1">
        <f>IF(ISNA(VLOOKUP($CZ121,'Audit Values'!$A$2:$AE$439,2,FALSE)),'Preliminary SO66'!B118,VLOOKUP($CZ121,'Audit Values'!$A$2:$AE$439,31,FALSE))</f>
        <v>304</v>
      </c>
      <c r="L121" s="1">
        <f t="shared" si="144"/>
        <v>320.5</v>
      </c>
      <c r="M121" s="1">
        <f>IF(ISNA(VLOOKUP($CZ121,'Audit Values'!$A$2:$AE$439,2,FALSE)),'Preliminary SO66'!Z118,VLOOKUP($CZ121,'Audit Values'!$A$2:$AE$439,26,FALSE))</f>
        <v>0</v>
      </c>
      <c r="N121" s="1">
        <f t="shared" si="145"/>
        <v>320.5</v>
      </c>
      <c r="O121" s="1">
        <f>IF(ISNA(VLOOKUP($CZ121,'Audit Values'!$A$2:$AE$439,2,FALSE)),'Preliminary SO66'!C118,IF(VLOOKUP($CZ121,'Audit Values'!$A$2:$AE$439,28,FALSE)="",VLOOKUP($CZ121,'Audit Values'!$A$2:$AE$439,3,FALSE),VLOOKUP($CZ121,'Audit Values'!$A$2:$AE$439,28,FALSE)))</f>
        <v>0</v>
      </c>
      <c r="P121" s="109">
        <f t="shared" si="146"/>
        <v>304</v>
      </c>
      <c r="Q121" s="110">
        <f t="shared" si="147"/>
        <v>304</v>
      </c>
      <c r="R121" s="111">
        <f t="shared" si="148"/>
        <v>304</v>
      </c>
      <c r="S121" s="1">
        <f t="shared" si="149"/>
        <v>320.5</v>
      </c>
      <c r="T121" s="1">
        <f t="shared" si="185"/>
        <v>0</v>
      </c>
      <c r="U121" s="1">
        <f t="shared" si="150"/>
        <v>152.9</v>
      </c>
      <c r="V121" s="1">
        <f t="shared" si="179"/>
        <v>152.9</v>
      </c>
      <c r="W121" s="1">
        <f t="shared" si="180"/>
        <v>0</v>
      </c>
      <c r="X121" s="1">
        <f>IF(ISNA(VLOOKUP($CZ121,'Audit Values'!$A$2:$AE$439,2,FALSE)),'Preliminary SO66'!D118,VLOOKUP($CZ121,'Audit Values'!$A$2:$AE$439,4,FALSE))</f>
        <v>108</v>
      </c>
      <c r="Y121" s="1">
        <f>ROUND((X121/6)*Weightings!$M$6,1)</f>
        <v>9</v>
      </c>
      <c r="Z121" s="1">
        <f>IF(ISNA(VLOOKUP($CZ121,'Audit Values'!$A$2:$AE$439,2,FALSE)),'Preliminary SO66'!F118,VLOOKUP($CZ121,'Audit Values'!$A$2:$AE$439,6,FALSE))</f>
        <v>0</v>
      </c>
      <c r="AA121" s="1">
        <f>ROUND((Z121/6)*Weightings!$M$7,1)</f>
        <v>0</v>
      </c>
      <c r="AB121" s="2">
        <f>IF(ISNA(VLOOKUP($CZ121,'Audit Values'!$A$2:$AE$439,2,FALSE)),'Preliminary SO66'!H118,VLOOKUP($CZ121,'Audit Values'!$A$2:$AE$439,8,FALSE))</f>
        <v>95</v>
      </c>
      <c r="AC121" s="1">
        <f>ROUND(AB121*Weightings!$M$8,1)</f>
        <v>43.3</v>
      </c>
      <c r="AD121" s="1">
        <f t="shared" si="169"/>
        <v>0</v>
      </c>
      <c r="AE121" s="185">
        <v>29</v>
      </c>
      <c r="AF121" s="1">
        <f>AE121*Weightings!$M$9</f>
        <v>1.3</v>
      </c>
      <c r="AG121" s="1">
        <f>IF(ISNA(VLOOKUP($CZ121,'Audit Values'!$A$2:$AE$439,2,FALSE)),'Preliminary SO66'!L118,VLOOKUP($CZ121,'Audit Values'!$A$2:$AE$439,12,FALSE))</f>
        <v>0</v>
      </c>
      <c r="AH121" s="1">
        <f>ROUND(AG121*Weightings!$M$10,1)</f>
        <v>0</v>
      </c>
      <c r="AI121" s="1">
        <f>IF(ISNA(VLOOKUP($CZ121,'Audit Values'!$A$2:$AE$439,2,FALSE)),'Preliminary SO66'!O118,VLOOKUP($CZ121,'Audit Values'!$A$2:$AE$439,15,FALSE))</f>
        <v>161.5</v>
      </c>
      <c r="AJ121" s="1">
        <f t="shared" si="151"/>
        <v>46.9</v>
      </c>
      <c r="AK121" s="1">
        <f>CC121/Weightings!$M$5</f>
        <v>0</v>
      </c>
      <c r="AL121" s="1">
        <f>CD121/Weightings!$M$5</f>
        <v>0</v>
      </c>
      <c r="AM121" s="1">
        <f>CH121/Weightings!$M$5</f>
        <v>0</v>
      </c>
      <c r="AN121" s="1">
        <f t="shared" si="181"/>
        <v>0</v>
      </c>
      <c r="AO121" s="1">
        <f>IF(ISNA(VLOOKUP($CZ121,'Audit Values'!$A$2:$AE$439,2,FALSE)),'Preliminary SO66'!X118,VLOOKUP($CZ121,'Audit Values'!$A$2:$AE$439,24,FALSE))</f>
        <v>0</v>
      </c>
      <c r="AP121" s="188">
        <v>288798</v>
      </c>
      <c r="AQ121" s="113">
        <f>AP121/Weightings!$M$5</f>
        <v>75.2</v>
      </c>
      <c r="AR121" s="113">
        <f t="shared" si="152"/>
        <v>573.9</v>
      </c>
      <c r="AS121" s="1">
        <f t="shared" si="153"/>
        <v>649.1</v>
      </c>
      <c r="AT121" s="1">
        <f t="shared" si="154"/>
        <v>649.1</v>
      </c>
      <c r="AU121" s="2">
        <f t="shared" si="170"/>
        <v>0</v>
      </c>
      <c r="AV121" s="82">
        <f>IF(ISNA(VLOOKUP($CZ121,'Audit Values'!$A$2:$AC$360,2,FALSE)),"",IF(AND(Weightings!H121&gt;0,VLOOKUP($CZ121,'Audit Values'!$A$2:$AC$360,29,FALSE)&lt;Weightings!H121),Weightings!H121,VLOOKUP($CZ121,'Audit Values'!$A$2:$AC$360,29,FALSE)))</f>
        <v>12</v>
      </c>
      <c r="AW121" s="82" t="str">
        <f>IF(ISNA(VLOOKUP($CZ121,'Audit Values'!$A$2:$AD$360,2,FALSE)),"",VLOOKUP($CZ121,'Audit Values'!$A$2:$AD$360,30,FALSE))</f>
        <v>A</v>
      </c>
      <c r="AX121" s="82" t="str">
        <f>IF(Weightings!G121="","",IF(Weightings!I121="Pending","PX","R"))</f>
        <v/>
      </c>
      <c r="AY121" s="114">
        <f>AR121*Weightings!$M$5+AU121</f>
        <v>2202628</v>
      </c>
      <c r="AZ121" s="2">
        <f>AT121*Weightings!$M$5+AU121</f>
        <v>2491246</v>
      </c>
      <c r="BA121" s="2">
        <f>IF(Weightings!G121&gt;0,Weightings!G121,'Preliminary SO66'!AB118)</f>
        <v>2527323</v>
      </c>
      <c r="BB121" s="2">
        <f t="shared" si="155"/>
        <v>2491246</v>
      </c>
      <c r="BC121" s="124"/>
      <c r="BD121" s="124">
        <f>Weightings!E121</f>
        <v>0</v>
      </c>
      <c r="BE121" s="124">
        <f>Weightings!F121</f>
        <v>0</v>
      </c>
      <c r="BF121" s="2">
        <f t="shared" si="156"/>
        <v>0</v>
      </c>
      <c r="BG121" s="2">
        <f t="shared" si="157"/>
        <v>2491246</v>
      </c>
      <c r="BH121" s="2">
        <f>MAX(ROUND(((AR121-AO121)*4433)+AP121,0),ROUND(((AR121-AO121)*4433)+Weightings!B121,0))</f>
        <v>2832897</v>
      </c>
      <c r="BI121" s="174">
        <v>0.3</v>
      </c>
      <c r="BJ121" s="2">
        <f t="shared" si="188"/>
        <v>849869</v>
      </c>
      <c r="BK121" s="173">
        <v>862018</v>
      </c>
      <c r="BL121" s="2">
        <f t="shared" si="158"/>
        <v>849869</v>
      </c>
      <c r="BM121" s="3">
        <f t="shared" si="171"/>
        <v>0.3</v>
      </c>
      <c r="BN121" s="1">
        <f t="shared" si="159"/>
        <v>0</v>
      </c>
      <c r="BO121" s="4" t="b">
        <f t="shared" si="160"/>
        <v>0</v>
      </c>
      <c r="BP121" s="5">
        <f t="shared" si="161"/>
        <v>0</v>
      </c>
      <c r="BQ121" s="6">
        <f t="shared" si="140"/>
        <v>0</v>
      </c>
      <c r="BR121" s="4">
        <f t="shared" si="162"/>
        <v>0</v>
      </c>
      <c r="BS121" s="4" t="b">
        <f t="shared" si="163"/>
        <v>1</v>
      </c>
      <c r="BT121" s="4">
        <f t="shared" si="164"/>
        <v>25.3688</v>
      </c>
      <c r="BU121" s="6">
        <f t="shared" si="141"/>
        <v>0.47722100000000001</v>
      </c>
      <c r="BV121" s="1">
        <f t="shared" si="165"/>
        <v>152.9</v>
      </c>
      <c r="BW121" s="1">
        <f t="shared" si="166"/>
        <v>0</v>
      </c>
      <c r="BX121" s="116">
        <v>256.39999999999998</v>
      </c>
      <c r="BY121" s="7">
        <f t="shared" si="172"/>
        <v>0.63</v>
      </c>
      <c r="BZ121" s="7">
        <f>IF(ROUND((Weightings!$P$5*BY121^Weightings!$P$6*Weightings!$P$8 ),2)&lt;Weightings!$P$7,Weightings!$P$7,ROUND((Weightings!$P$5*BY121^Weightings!$P$6*Weightings!$P$8 ),2))</f>
        <v>1113.6400000000001</v>
      </c>
      <c r="CA121" s="8">
        <f>ROUND(BZ121/Weightings!$M$5,4)</f>
        <v>0.29020000000000001</v>
      </c>
      <c r="CB121" s="1">
        <f t="shared" si="173"/>
        <v>46.9</v>
      </c>
      <c r="CC121" s="173">
        <v>0</v>
      </c>
      <c r="CD121" s="173">
        <v>0</v>
      </c>
      <c r="CE121" s="173">
        <v>0</v>
      </c>
      <c r="CF121" s="177">
        <v>0</v>
      </c>
      <c r="CG121" s="2">
        <f>AS121*Weightings!$M$5*CF121</f>
        <v>0</v>
      </c>
      <c r="CH121" s="2">
        <f t="shared" si="174"/>
        <v>0</v>
      </c>
      <c r="CI121" s="117">
        <f t="shared" si="167"/>
        <v>0.29599999999999999</v>
      </c>
      <c r="CJ121" s="4">
        <f t="shared" si="168"/>
        <v>1.3</v>
      </c>
      <c r="CK121" s="1">
        <f t="shared" si="175"/>
        <v>0</v>
      </c>
      <c r="CL121" s="1">
        <f t="shared" si="176"/>
        <v>0</v>
      </c>
      <c r="CM121" s="1">
        <f t="shared" si="177"/>
        <v>0</v>
      </c>
      <c r="CN121" s="1">
        <f>IF(ISNA(VLOOKUP($CZ121,'Audit Values'!$A$2:$AE$439,2,FALSE)),'Preliminary SO66'!T118,VLOOKUP($CZ121,'Audit Values'!$A$2:$AE$439,20,FALSE))</f>
        <v>0</v>
      </c>
      <c r="CO121" s="1">
        <f t="shared" si="182"/>
        <v>0</v>
      </c>
      <c r="CP121" s="183">
        <v>0</v>
      </c>
      <c r="CQ121" s="1">
        <f t="shared" si="183"/>
        <v>0</v>
      </c>
      <c r="CR121" s="2">
        <f>IF(ISNA(VLOOKUP($CZ121,'Audit Values'!$A$2:$AE$439,2,FALSE)),'Preliminary SO66'!V118,VLOOKUP($CZ121,'Audit Values'!$A$2:$AE$439,22,FALSE))</f>
        <v>0</v>
      </c>
      <c r="CS121" s="1">
        <f t="shared" si="184"/>
        <v>0</v>
      </c>
      <c r="CT121" s="2">
        <f>IF(ISNA(VLOOKUP($CZ121,'Audit Values'!$A$2:$AE$439,2,FALSE)),'Preliminary SO66'!W118,VLOOKUP($CZ121,'Audit Values'!$A$2:$AE$439,23,FALSE))</f>
        <v>0</v>
      </c>
      <c r="CU121" s="1">
        <f t="shared" si="189"/>
        <v>0</v>
      </c>
      <c r="CV121" s="1">
        <f t="shared" si="190"/>
        <v>0</v>
      </c>
      <c r="CW121" s="176">
        <v>0</v>
      </c>
      <c r="CX121" s="2">
        <f>IF(CW121&gt;0,Weightings!$M$11*AR121,0)</f>
        <v>0</v>
      </c>
      <c r="CY121" s="2">
        <f t="shared" si="178"/>
        <v>0</v>
      </c>
      <c r="CZ121" s="108" t="s">
        <v>413</v>
      </c>
    </row>
    <row r="122" spans="1:104">
      <c r="A122" s="82">
        <v>323</v>
      </c>
      <c r="B122" s="4" t="s">
        <v>54</v>
      </c>
      <c r="C122" s="4" t="s">
        <v>749</v>
      </c>
      <c r="D122" s="1">
        <v>850.2</v>
      </c>
      <c r="E122" s="1">
        <v>11</v>
      </c>
      <c r="F122" s="1">
        <f t="shared" si="187"/>
        <v>861.2</v>
      </c>
      <c r="G122" s="1">
        <v>857.6</v>
      </c>
      <c r="H122" s="1">
        <v>0</v>
      </c>
      <c r="I122" s="1">
        <f t="shared" si="142"/>
        <v>857.6</v>
      </c>
      <c r="J122" s="1">
        <f t="shared" si="143"/>
        <v>854.9</v>
      </c>
      <c r="K122" s="1">
        <f>IF(ISNA(VLOOKUP($CZ122,'Audit Values'!$A$2:$AE$439,2,FALSE)),'Preliminary SO66'!B119,VLOOKUP($CZ122,'Audit Values'!$A$2:$AE$439,31,FALSE))</f>
        <v>854.9</v>
      </c>
      <c r="L122" s="1">
        <f t="shared" si="144"/>
        <v>857.9</v>
      </c>
      <c r="M122" s="1">
        <f>IF(ISNA(VLOOKUP($CZ122,'Audit Values'!$A$2:$AE$439,2,FALSE)),'Preliminary SO66'!Z119,VLOOKUP($CZ122,'Audit Values'!$A$2:$AE$439,26,FALSE))</f>
        <v>0</v>
      </c>
      <c r="N122" s="1">
        <f t="shared" si="145"/>
        <v>857.9</v>
      </c>
      <c r="O122" s="1">
        <f>IF(ISNA(VLOOKUP($CZ122,'Audit Values'!$A$2:$AE$439,2,FALSE)),'Preliminary SO66'!C119,IF(VLOOKUP($CZ122,'Audit Values'!$A$2:$AE$439,28,FALSE)="",VLOOKUP($CZ122,'Audit Values'!$A$2:$AE$439,3,FALSE),VLOOKUP($CZ122,'Audit Values'!$A$2:$AE$439,28,FALSE)))</f>
        <v>0</v>
      </c>
      <c r="P122" s="109">
        <f t="shared" si="146"/>
        <v>854.9</v>
      </c>
      <c r="Q122" s="110">
        <f t="shared" si="147"/>
        <v>854.9</v>
      </c>
      <c r="R122" s="111">
        <f t="shared" si="148"/>
        <v>854.9</v>
      </c>
      <c r="S122" s="1">
        <f t="shared" si="149"/>
        <v>857.9</v>
      </c>
      <c r="T122" s="1">
        <f t="shared" si="185"/>
        <v>0</v>
      </c>
      <c r="U122" s="1">
        <f t="shared" si="150"/>
        <v>252.8</v>
      </c>
      <c r="V122" s="1">
        <f t="shared" si="179"/>
        <v>252.8</v>
      </c>
      <c r="W122" s="1">
        <f t="shared" si="180"/>
        <v>0</v>
      </c>
      <c r="X122" s="1">
        <f>IF(ISNA(VLOOKUP($CZ122,'Audit Values'!$A$2:$AE$439,2,FALSE)),'Preliminary SO66'!D119,VLOOKUP($CZ122,'Audit Values'!$A$2:$AE$439,4,FALSE))</f>
        <v>123.4</v>
      </c>
      <c r="Y122" s="1">
        <f>ROUND((X122/6)*Weightings!$M$6,1)</f>
        <v>10.3</v>
      </c>
      <c r="Z122" s="1">
        <f>IF(ISNA(VLOOKUP($CZ122,'Audit Values'!$A$2:$AE$439,2,FALSE)),'Preliminary SO66'!F119,VLOOKUP($CZ122,'Audit Values'!$A$2:$AE$439,6,FALSE))</f>
        <v>0</v>
      </c>
      <c r="AA122" s="1">
        <f>ROUND((Z122/6)*Weightings!$M$7,1)</f>
        <v>0</v>
      </c>
      <c r="AB122" s="2">
        <f>IF(ISNA(VLOOKUP($CZ122,'Audit Values'!$A$2:$AE$439,2,FALSE)),'Preliminary SO66'!H119,VLOOKUP($CZ122,'Audit Values'!$A$2:$AE$439,8,FALSE))</f>
        <v>202</v>
      </c>
      <c r="AC122" s="1">
        <f>ROUND(AB122*Weightings!$M$8,1)</f>
        <v>92.1</v>
      </c>
      <c r="AD122" s="1">
        <f t="shared" si="169"/>
        <v>0</v>
      </c>
      <c r="AE122" s="185">
        <v>35</v>
      </c>
      <c r="AF122" s="1">
        <f>AE122*Weightings!$M$9</f>
        <v>1.6</v>
      </c>
      <c r="AG122" s="1">
        <f>IF(ISNA(VLOOKUP($CZ122,'Audit Values'!$A$2:$AE$439,2,FALSE)),'Preliminary SO66'!L119,VLOOKUP($CZ122,'Audit Values'!$A$2:$AE$439,12,FALSE))</f>
        <v>0</v>
      </c>
      <c r="AH122" s="1">
        <f>ROUND(AG122*Weightings!$M$10,1)</f>
        <v>0</v>
      </c>
      <c r="AI122" s="1">
        <f>IF(ISNA(VLOOKUP($CZ122,'Audit Values'!$A$2:$AE$439,2,FALSE)),'Preliminary SO66'!O119,VLOOKUP($CZ122,'Audit Values'!$A$2:$AE$439,15,FALSE))</f>
        <v>548.5</v>
      </c>
      <c r="AJ122" s="1">
        <f t="shared" si="151"/>
        <v>117.9</v>
      </c>
      <c r="AK122" s="1">
        <f>CC122/Weightings!$M$5</f>
        <v>0</v>
      </c>
      <c r="AL122" s="1">
        <f>CD122/Weightings!$M$5</f>
        <v>0</v>
      </c>
      <c r="AM122" s="1">
        <f>CH122/Weightings!$M$5</f>
        <v>0</v>
      </c>
      <c r="AN122" s="1">
        <f t="shared" si="181"/>
        <v>0</v>
      </c>
      <c r="AO122" s="1">
        <f>IF(ISNA(VLOOKUP($CZ122,'Audit Values'!$A$2:$AE$439,2,FALSE)),'Preliminary SO66'!X119,VLOOKUP($CZ122,'Audit Values'!$A$2:$AE$439,24,FALSE))</f>
        <v>0</v>
      </c>
      <c r="AP122" s="188">
        <v>865792</v>
      </c>
      <c r="AQ122" s="113">
        <f>AP122/Weightings!$M$5</f>
        <v>225.6</v>
      </c>
      <c r="AR122" s="113">
        <f t="shared" si="152"/>
        <v>1332.6</v>
      </c>
      <c r="AS122" s="1">
        <f t="shared" si="153"/>
        <v>1558.2</v>
      </c>
      <c r="AT122" s="1">
        <f t="shared" si="154"/>
        <v>1558.2</v>
      </c>
      <c r="AU122" s="2">
        <f t="shared" si="170"/>
        <v>0</v>
      </c>
      <c r="AV122" s="142">
        <f>IF(ISNA(VLOOKUP($CZ122,'Audit Values'!$A$2:$AC$360,2,FALSE)),"",IF(AND(Weightings!H122&gt;0,VLOOKUP($CZ122,'Audit Values'!$A$2:$AC$360,29,FALSE)&lt;Weightings!H122),Weightings!H122,VLOOKUP($CZ122,'Audit Values'!$A$2:$AC$360,29,FALSE)))</f>
        <v>15</v>
      </c>
      <c r="AW122" s="142" t="str">
        <f>IF(ISNA(VLOOKUP($CZ122,'Audit Values'!$A$2:$AD$360,2,FALSE)),"",VLOOKUP($CZ122,'Audit Values'!$A$2:$AD$360,30,FALSE))</f>
        <v>A</v>
      </c>
      <c r="AX122" s="159" t="str">
        <f>IF(Weightings!G122="","",IF(Weightings!I122="Pending","PX","R"))</f>
        <v/>
      </c>
      <c r="AY122" s="114">
        <f>AR122*Weightings!$M$5+AU122</f>
        <v>5114519</v>
      </c>
      <c r="AZ122" s="2">
        <f>AT122*Weightings!$M$5+AU122</f>
        <v>5980372</v>
      </c>
      <c r="BA122" s="2">
        <f>IF(Weightings!G122&gt;0,Weightings!G122,'Preliminary SO66'!AB119)</f>
        <v>6142719</v>
      </c>
      <c r="BB122" s="2">
        <f t="shared" si="155"/>
        <v>5980372</v>
      </c>
      <c r="BC122" s="124"/>
      <c r="BD122" s="124">
        <f>Weightings!E122</f>
        <v>0</v>
      </c>
      <c r="BE122" s="124">
        <f>Weightings!F122</f>
        <v>0</v>
      </c>
      <c r="BF122" s="2">
        <f t="shared" si="156"/>
        <v>0</v>
      </c>
      <c r="BG122" s="2">
        <f t="shared" si="157"/>
        <v>5980372</v>
      </c>
      <c r="BH122" s="2">
        <f>MAX(ROUND(((AR122-AO122)*4433)+AP122,0),ROUND(((AR122-AO122)*4433)+Weightings!B122,0))</f>
        <v>6797412</v>
      </c>
      <c r="BI122" s="174">
        <v>0.3</v>
      </c>
      <c r="BJ122" s="2">
        <f t="shared" si="188"/>
        <v>2039224</v>
      </c>
      <c r="BK122" s="173">
        <v>1639750</v>
      </c>
      <c r="BL122" s="2">
        <f t="shared" si="158"/>
        <v>1639750</v>
      </c>
      <c r="BM122" s="3">
        <f t="shared" si="171"/>
        <v>0.2412</v>
      </c>
      <c r="BN122" s="1">
        <f t="shared" si="159"/>
        <v>0</v>
      </c>
      <c r="BO122" s="4" t="b">
        <f t="shared" si="160"/>
        <v>0</v>
      </c>
      <c r="BP122" s="5">
        <f t="shared" si="161"/>
        <v>0</v>
      </c>
      <c r="BQ122" s="6">
        <f t="shared" si="140"/>
        <v>0</v>
      </c>
      <c r="BR122" s="4">
        <f t="shared" si="162"/>
        <v>0</v>
      </c>
      <c r="BS122" s="4" t="b">
        <f t="shared" si="163"/>
        <v>1</v>
      </c>
      <c r="BT122" s="4">
        <f t="shared" si="164"/>
        <v>690.40129999999999</v>
      </c>
      <c r="BU122" s="6">
        <f t="shared" si="141"/>
        <v>0.29464099999999999</v>
      </c>
      <c r="BV122" s="1">
        <f t="shared" si="165"/>
        <v>252.8</v>
      </c>
      <c r="BW122" s="1">
        <f t="shared" si="166"/>
        <v>0</v>
      </c>
      <c r="BX122" s="116">
        <v>233</v>
      </c>
      <c r="BY122" s="7">
        <f t="shared" si="172"/>
        <v>2.35</v>
      </c>
      <c r="BZ122" s="7">
        <f>IF(ROUND((Weightings!$P$5*BY122^Weightings!$P$6*Weightings!$P$8 ),2)&lt;Weightings!$P$7,Weightings!$P$7,ROUND((Weightings!$P$5*BY122^Weightings!$P$6*Weightings!$P$8 ),2))</f>
        <v>824.77</v>
      </c>
      <c r="CA122" s="8">
        <f>ROUND(BZ122/Weightings!$M$5,4)</f>
        <v>0.21490000000000001</v>
      </c>
      <c r="CB122" s="1">
        <f t="shared" si="173"/>
        <v>117.9</v>
      </c>
      <c r="CC122" s="173">
        <v>0</v>
      </c>
      <c r="CD122" s="173">
        <v>0</v>
      </c>
      <c r="CE122" s="173">
        <v>0</v>
      </c>
      <c r="CF122" s="177">
        <v>0</v>
      </c>
      <c r="CG122" s="2">
        <f>AS122*Weightings!$M$5*CF122</f>
        <v>0</v>
      </c>
      <c r="CH122" s="2">
        <f t="shared" si="174"/>
        <v>0</v>
      </c>
      <c r="CI122" s="117">
        <f t="shared" si="167"/>
        <v>0.23499999999999999</v>
      </c>
      <c r="CJ122" s="4">
        <f t="shared" si="168"/>
        <v>3.7</v>
      </c>
      <c r="CK122" s="1">
        <f t="shared" si="175"/>
        <v>0</v>
      </c>
      <c r="CL122" s="1">
        <f t="shared" si="176"/>
        <v>0</v>
      </c>
      <c r="CM122" s="1">
        <f t="shared" si="177"/>
        <v>0</v>
      </c>
      <c r="CN122" s="1">
        <f>IF(ISNA(VLOOKUP($CZ122,'Audit Values'!$A$2:$AE$439,2,FALSE)),'Preliminary SO66'!T119,VLOOKUP($CZ122,'Audit Values'!$A$2:$AE$439,20,FALSE))</f>
        <v>0</v>
      </c>
      <c r="CO122" s="1">
        <f t="shared" si="182"/>
        <v>0</v>
      </c>
      <c r="CP122" s="183">
        <v>0</v>
      </c>
      <c r="CQ122" s="1">
        <f t="shared" si="183"/>
        <v>0</v>
      </c>
      <c r="CR122" s="2">
        <f>IF(ISNA(VLOOKUP($CZ122,'Audit Values'!$A$2:$AE$439,2,FALSE)),'Preliminary SO66'!V119,VLOOKUP($CZ122,'Audit Values'!$A$2:$AE$439,22,FALSE))</f>
        <v>0</v>
      </c>
      <c r="CS122" s="1">
        <f t="shared" si="184"/>
        <v>0</v>
      </c>
      <c r="CT122" s="2">
        <f>IF(ISNA(VLOOKUP($CZ122,'Audit Values'!$A$2:$AE$439,2,FALSE)),'Preliminary SO66'!W119,VLOOKUP($CZ122,'Audit Values'!$A$2:$AE$439,23,FALSE))</f>
        <v>0</v>
      </c>
      <c r="CU122" s="1">
        <f t="shared" si="189"/>
        <v>0</v>
      </c>
      <c r="CV122" s="1">
        <f t="shared" si="190"/>
        <v>0</v>
      </c>
      <c r="CW122" s="176">
        <v>0</v>
      </c>
      <c r="CX122" s="2">
        <f>IF(CW122&gt;0,Weightings!$M$11*AR122,0)</f>
        <v>0</v>
      </c>
      <c r="CY122" s="2">
        <f t="shared" si="178"/>
        <v>0</v>
      </c>
      <c r="CZ122" s="108" t="s">
        <v>414</v>
      </c>
    </row>
    <row r="123" spans="1:104">
      <c r="A123" s="82">
        <v>325</v>
      </c>
      <c r="B123" s="4" t="s">
        <v>55</v>
      </c>
      <c r="C123" s="4" t="s">
        <v>750</v>
      </c>
      <c r="D123" s="1">
        <v>597</v>
      </c>
      <c r="E123" s="1">
        <v>0</v>
      </c>
      <c r="F123" s="1">
        <f t="shared" si="187"/>
        <v>597</v>
      </c>
      <c r="G123" s="1">
        <v>591</v>
      </c>
      <c r="H123" s="1">
        <v>0</v>
      </c>
      <c r="I123" s="1">
        <f t="shared" si="142"/>
        <v>591</v>
      </c>
      <c r="J123" s="1">
        <f t="shared" si="143"/>
        <v>587</v>
      </c>
      <c r="K123" s="1">
        <f>IF(ISNA(VLOOKUP($CZ123,'Audit Values'!$A$2:$AE$439,2,FALSE)),'Preliminary SO66'!B120,VLOOKUP($CZ123,'Audit Values'!$A$2:$AE$439,31,FALSE))</f>
        <v>587</v>
      </c>
      <c r="L123" s="1">
        <f t="shared" si="144"/>
        <v>591.70000000000005</v>
      </c>
      <c r="M123" s="1">
        <f>IF(ISNA(VLOOKUP($CZ123,'Audit Values'!$A$2:$AE$439,2,FALSE)),'Preliminary SO66'!Z120,VLOOKUP($CZ123,'Audit Values'!$A$2:$AE$439,26,FALSE))</f>
        <v>0</v>
      </c>
      <c r="N123" s="1">
        <f t="shared" si="145"/>
        <v>591.70000000000005</v>
      </c>
      <c r="O123" s="1">
        <f>IF(ISNA(VLOOKUP($CZ123,'Audit Values'!$A$2:$AE$439,2,FALSE)),'Preliminary SO66'!C120,IF(VLOOKUP($CZ123,'Audit Values'!$A$2:$AE$439,28,FALSE)="",VLOOKUP($CZ123,'Audit Values'!$A$2:$AE$439,3,FALSE),VLOOKUP($CZ123,'Audit Values'!$A$2:$AE$439,28,FALSE)))</f>
        <v>0</v>
      </c>
      <c r="P123" s="109">
        <f t="shared" si="146"/>
        <v>587</v>
      </c>
      <c r="Q123" s="110">
        <f t="shared" si="147"/>
        <v>587</v>
      </c>
      <c r="R123" s="111">
        <f t="shared" si="148"/>
        <v>587</v>
      </c>
      <c r="S123" s="1">
        <f t="shared" si="149"/>
        <v>591.70000000000005</v>
      </c>
      <c r="T123" s="1">
        <f t="shared" si="185"/>
        <v>0</v>
      </c>
      <c r="U123" s="1">
        <f t="shared" si="150"/>
        <v>227.9</v>
      </c>
      <c r="V123" s="1">
        <f t="shared" si="179"/>
        <v>227.9</v>
      </c>
      <c r="W123" s="1">
        <f t="shared" si="180"/>
        <v>0</v>
      </c>
      <c r="X123" s="1">
        <f>IF(ISNA(VLOOKUP($CZ123,'Audit Values'!$A$2:$AE$439,2,FALSE)),'Preliminary SO66'!D120,VLOOKUP($CZ123,'Audit Values'!$A$2:$AE$439,4,FALSE))</f>
        <v>50.2</v>
      </c>
      <c r="Y123" s="1">
        <f>ROUND((X123/6)*Weightings!$M$6,1)</f>
        <v>4.2</v>
      </c>
      <c r="Z123" s="1">
        <f>IF(ISNA(VLOOKUP($CZ123,'Audit Values'!$A$2:$AE$439,2,FALSE)),'Preliminary SO66'!F120,VLOOKUP($CZ123,'Audit Values'!$A$2:$AE$439,6,FALSE))</f>
        <v>0</v>
      </c>
      <c r="AA123" s="1">
        <f>ROUND((Z123/6)*Weightings!$M$7,1)</f>
        <v>0</v>
      </c>
      <c r="AB123" s="2">
        <f>IF(ISNA(VLOOKUP($CZ123,'Audit Values'!$A$2:$AE$439,2,FALSE)),'Preliminary SO66'!H120,VLOOKUP($CZ123,'Audit Values'!$A$2:$AE$439,8,FALSE))</f>
        <v>208</v>
      </c>
      <c r="AC123" s="1">
        <f>ROUND(AB123*Weightings!$M$8,1)</f>
        <v>94.8</v>
      </c>
      <c r="AD123" s="1">
        <f t="shared" si="169"/>
        <v>0.3</v>
      </c>
      <c r="AE123" s="185">
        <v>28</v>
      </c>
      <c r="AF123" s="1">
        <f>AE123*Weightings!$M$9</f>
        <v>1.3</v>
      </c>
      <c r="AG123" s="1">
        <f>IF(ISNA(VLOOKUP($CZ123,'Audit Values'!$A$2:$AE$439,2,FALSE)),'Preliminary SO66'!L120,VLOOKUP($CZ123,'Audit Values'!$A$2:$AE$439,12,FALSE))</f>
        <v>0</v>
      </c>
      <c r="AH123" s="1">
        <f>ROUND(AG123*Weightings!$M$10,1)</f>
        <v>0</v>
      </c>
      <c r="AI123" s="1">
        <f>IF(ISNA(VLOOKUP($CZ123,'Audit Values'!$A$2:$AE$439,2,FALSE)),'Preliminary SO66'!O120,VLOOKUP($CZ123,'Audit Values'!$A$2:$AE$439,15,FALSE))</f>
        <v>106</v>
      </c>
      <c r="AJ123" s="1">
        <f t="shared" si="151"/>
        <v>36.4</v>
      </c>
      <c r="AK123" s="1">
        <f>CC123/Weightings!$M$5</f>
        <v>0</v>
      </c>
      <c r="AL123" s="1">
        <f>CD123/Weightings!$M$5</f>
        <v>0</v>
      </c>
      <c r="AM123" s="1">
        <f>CH123/Weightings!$M$5</f>
        <v>0</v>
      </c>
      <c r="AN123" s="1">
        <f t="shared" si="181"/>
        <v>0</v>
      </c>
      <c r="AO123" s="1">
        <f>IF(ISNA(VLOOKUP($CZ123,'Audit Values'!$A$2:$AE$439,2,FALSE)),'Preliminary SO66'!X120,VLOOKUP($CZ123,'Audit Values'!$A$2:$AE$439,24,FALSE))</f>
        <v>0</v>
      </c>
      <c r="AP123" s="188">
        <v>724226</v>
      </c>
      <c r="AQ123" s="113">
        <f>AP123/Weightings!$M$5</f>
        <v>188.7</v>
      </c>
      <c r="AR123" s="113">
        <f t="shared" si="152"/>
        <v>956.6</v>
      </c>
      <c r="AS123" s="1">
        <f t="shared" si="153"/>
        <v>1145.3</v>
      </c>
      <c r="AT123" s="1">
        <f t="shared" si="154"/>
        <v>1145.3</v>
      </c>
      <c r="AU123" s="2">
        <f t="shared" si="170"/>
        <v>0</v>
      </c>
      <c r="AV123" s="82">
        <f>IF(ISNA(VLOOKUP($CZ123,'Audit Values'!$A$2:$AC$360,2,FALSE)),"",IF(AND(Weightings!H123&gt;0,VLOOKUP($CZ123,'Audit Values'!$A$2:$AC$360,29,FALSE)&lt;Weightings!H123),Weightings!H123,VLOOKUP($CZ123,'Audit Values'!$A$2:$AC$360,29,FALSE)))</f>
        <v>1</v>
      </c>
      <c r="AW123" s="82" t="str">
        <f>IF(ISNA(VLOOKUP($CZ123,'Audit Values'!$A$2:$AD$360,2,FALSE)),"",VLOOKUP($CZ123,'Audit Values'!$A$2:$AD$360,30,FALSE))</f>
        <v>A</v>
      </c>
      <c r="AX123" s="82" t="str">
        <f>IF(Weightings!G123="","",IF(Weightings!I123="Pending","PX","R"))</f>
        <v>R</v>
      </c>
      <c r="AY123" s="114">
        <f>AR123*Weightings!$M$5+AU123</f>
        <v>3671431</v>
      </c>
      <c r="AZ123" s="2">
        <f>AT123*Weightings!$M$5+AU123</f>
        <v>4395661</v>
      </c>
      <c r="BA123" s="2">
        <f>IF(Weightings!G123&gt;0,Weightings!G123,'Preliminary SO66'!AB120)</f>
        <v>4504661</v>
      </c>
      <c r="BB123" s="2">
        <f t="shared" si="155"/>
        <v>4395661</v>
      </c>
      <c r="BC123" s="124"/>
      <c r="BD123" s="124">
        <f>Weightings!E123</f>
        <v>-2606</v>
      </c>
      <c r="BE123" s="124">
        <f>Weightings!F123</f>
        <v>0</v>
      </c>
      <c r="BF123" s="2">
        <f t="shared" si="156"/>
        <v>-2606</v>
      </c>
      <c r="BG123" s="2">
        <f t="shared" si="157"/>
        <v>4393055</v>
      </c>
      <c r="BH123" s="2">
        <f>MAX(ROUND(((AR123-AO123)*4433)+AP123,0),ROUND(((AR123-AO123)*4433)+Weightings!B123,0))</f>
        <v>4997647</v>
      </c>
      <c r="BI123" s="174">
        <v>0.3</v>
      </c>
      <c r="BJ123" s="2">
        <f t="shared" ref="BJ123:BJ184" si="191">BH123*BI123</f>
        <v>1499294</v>
      </c>
      <c r="BK123" s="173">
        <v>1511980</v>
      </c>
      <c r="BL123" s="2">
        <f t="shared" si="158"/>
        <v>1499294</v>
      </c>
      <c r="BM123" s="3">
        <f t="shared" si="171"/>
        <v>0.3</v>
      </c>
      <c r="BN123" s="1">
        <f t="shared" si="159"/>
        <v>0</v>
      </c>
      <c r="BO123" s="4" t="b">
        <f t="shared" si="160"/>
        <v>0</v>
      </c>
      <c r="BP123" s="5">
        <f t="shared" si="161"/>
        <v>0</v>
      </c>
      <c r="BQ123" s="6">
        <f t="shared" si="140"/>
        <v>0</v>
      </c>
      <c r="BR123" s="4">
        <f t="shared" si="162"/>
        <v>0</v>
      </c>
      <c r="BS123" s="4" t="b">
        <f t="shared" si="163"/>
        <v>1</v>
      </c>
      <c r="BT123" s="4">
        <f t="shared" si="164"/>
        <v>360.97879999999998</v>
      </c>
      <c r="BU123" s="6">
        <f t="shared" si="141"/>
        <v>0.38508199999999998</v>
      </c>
      <c r="BV123" s="1">
        <f t="shared" si="165"/>
        <v>227.9</v>
      </c>
      <c r="BW123" s="1">
        <f t="shared" si="166"/>
        <v>0</v>
      </c>
      <c r="BX123" s="116">
        <v>353</v>
      </c>
      <c r="BY123" s="7">
        <f t="shared" si="172"/>
        <v>0.3</v>
      </c>
      <c r="BZ123" s="7">
        <f>IF(ROUND((Weightings!$P$5*BY123^Weightings!$P$6*Weightings!$P$8 ),2)&lt;Weightings!$P$7,Weightings!$P$7,ROUND((Weightings!$P$5*BY123^Weightings!$P$6*Weightings!$P$8 ),2))</f>
        <v>1318.99</v>
      </c>
      <c r="CA123" s="8">
        <f>ROUND(BZ123/Weightings!$M$5,4)</f>
        <v>0.34370000000000001</v>
      </c>
      <c r="CB123" s="1">
        <f t="shared" si="173"/>
        <v>36.4</v>
      </c>
      <c r="CC123" s="173">
        <v>0</v>
      </c>
      <c r="CD123" s="173">
        <v>0</v>
      </c>
      <c r="CE123" s="173">
        <v>0</v>
      </c>
      <c r="CF123" s="177">
        <v>0</v>
      </c>
      <c r="CG123" s="2">
        <f>AS123*Weightings!$M$5*CF123</f>
        <v>0</v>
      </c>
      <c r="CH123" s="2">
        <f t="shared" si="174"/>
        <v>0</v>
      </c>
      <c r="CI123" s="117">
        <f t="shared" si="167"/>
        <v>0.35199999999999998</v>
      </c>
      <c r="CJ123" s="4">
        <f t="shared" si="168"/>
        <v>1.7</v>
      </c>
      <c r="CK123" s="1">
        <f t="shared" si="175"/>
        <v>0</v>
      </c>
      <c r="CL123" s="1">
        <f t="shared" si="176"/>
        <v>0</v>
      </c>
      <c r="CM123" s="1">
        <f t="shared" si="177"/>
        <v>0.3</v>
      </c>
      <c r="CN123" s="1">
        <f>IF(ISNA(VLOOKUP($CZ123,'Audit Values'!$A$2:$AE$439,2,FALSE)),'Preliminary SO66'!T120,VLOOKUP($CZ123,'Audit Values'!$A$2:$AE$439,20,FALSE))</f>
        <v>0</v>
      </c>
      <c r="CO123" s="1">
        <f t="shared" si="182"/>
        <v>0</v>
      </c>
      <c r="CP123" s="183">
        <v>0</v>
      </c>
      <c r="CQ123" s="1">
        <f t="shared" si="183"/>
        <v>0</v>
      </c>
      <c r="CR123" s="2">
        <f>IF(ISNA(VLOOKUP($CZ123,'Audit Values'!$A$2:$AE$439,2,FALSE)),'Preliminary SO66'!V120,VLOOKUP($CZ123,'Audit Values'!$A$2:$AE$439,22,FALSE))</f>
        <v>0</v>
      </c>
      <c r="CS123" s="1">
        <f t="shared" si="184"/>
        <v>0</v>
      </c>
      <c r="CT123" s="2">
        <f>IF(ISNA(VLOOKUP($CZ123,'Audit Values'!$A$2:$AE$439,2,FALSE)),'Preliminary SO66'!W120,VLOOKUP($CZ123,'Audit Values'!$A$2:$AE$439,23,FALSE))</f>
        <v>0</v>
      </c>
      <c r="CU123" s="1">
        <f>CT123*0.08</f>
        <v>0</v>
      </c>
      <c r="CV123" s="1">
        <f>CO123+CQ123+CS123+CU123</f>
        <v>0</v>
      </c>
      <c r="CW123" s="176">
        <v>0</v>
      </c>
      <c r="CX123" s="2">
        <f>IF(CW123&gt;0,Weightings!$M$11*AR123,0)</f>
        <v>0</v>
      </c>
      <c r="CY123" s="2">
        <f t="shared" si="178"/>
        <v>0</v>
      </c>
      <c r="CZ123" s="108" t="s">
        <v>415</v>
      </c>
    </row>
    <row r="124" spans="1:104">
      <c r="A124" s="82">
        <v>326</v>
      </c>
      <c r="B124" s="4" t="s">
        <v>55</v>
      </c>
      <c r="C124" s="4" t="s">
        <v>751</v>
      </c>
      <c r="D124" s="1">
        <v>180</v>
      </c>
      <c r="E124" s="1">
        <v>0</v>
      </c>
      <c r="F124" s="1">
        <f t="shared" si="187"/>
        <v>180</v>
      </c>
      <c r="G124" s="1">
        <v>182</v>
      </c>
      <c r="H124" s="1">
        <v>0</v>
      </c>
      <c r="I124" s="1">
        <f t="shared" si="142"/>
        <v>182</v>
      </c>
      <c r="J124" s="1">
        <f t="shared" si="143"/>
        <v>168</v>
      </c>
      <c r="K124" s="1">
        <f>IF(ISNA(VLOOKUP($CZ124,'Audit Values'!$A$2:$AE$439,2,FALSE)),'Preliminary SO66'!B121,VLOOKUP($CZ124,'Audit Values'!$A$2:$AE$439,31,FALSE))</f>
        <v>168</v>
      </c>
      <c r="L124" s="1">
        <f t="shared" si="144"/>
        <v>182</v>
      </c>
      <c r="M124" s="1">
        <f>IF(ISNA(VLOOKUP($CZ124,'Audit Values'!$A$2:$AE$439,2,FALSE)),'Preliminary SO66'!Z121,VLOOKUP($CZ124,'Audit Values'!$A$2:$AE$439,26,FALSE))</f>
        <v>0</v>
      </c>
      <c r="N124" s="1">
        <f t="shared" si="145"/>
        <v>182</v>
      </c>
      <c r="O124" s="1">
        <f>IF(ISNA(VLOOKUP($CZ124,'Audit Values'!$A$2:$AE$439,2,FALSE)),'Preliminary SO66'!C121,IF(VLOOKUP($CZ124,'Audit Values'!$A$2:$AE$439,28,FALSE)="",VLOOKUP($CZ124,'Audit Values'!$A$2:$AE$439,3,FALSE),VLOOKUP($CZ124,'Audit Values'!$A$2:$AE$439,28,FALSE)))</f>
        <v>3</v>
      </c>
      <c r="P124" s="109">
        <f t="shared" si="146"/>
        <v>171</v>
      </c>
      <c r="Q124" s="110">
        <f t="shared" si="147"/>
        <v>171</v>
      </c>
      <c r="R124" s="111">
        <f t="shared" si="148"/>
        <v>171</v>
      </c>
      <c r="S124" s="1">
        <f t="shared" si="149"/>
        <v>185</v>
      </c>
      <c r="T124" s="1">
        <f t="shared" si="185"/>
        <v>0</v>
      </c>
      <c r="U124" s="1">
        <f t="shared" si="150"/>
        <v>146</v>
      </c>
      <c r="V124" s="1">
        <f>MAX(BN124,BR124,BV124)</f>
        <v>146</v>
      </c>
      <c r="W124" s="1">
        <f t="shared" si="180"/>
        <v>0</v>
      </c>
      <c r="X124" s="1">
        <f>IF(ISNA(VLOOKUP($CZ124,'Audit Values'!$A$2:$AE$439,2,FALSE)),'Preliminary SO66'!D121,VLOOKUP($CZ124,'Audit Values'!$A$2:$AE$439,4,FALSE))</f>
        <v>98</v>
      </c>
      <c r="Y124" s="1">
        <f>ROUND((X124/6)*Weightings!$M$6,1)</f>
        <v>8.1999999999999993</v>
      </c>
      <c r="Z124" s="1">
        <f>IF(ISNA(VLOOKUP($CZ124,'Audit Values'!$A$2:$AE$439,2,FALSE)),'Preliminary SO66'!F121,VLOOKUP($CZ124,'Audit Values'!$A$2:$AE$439,6,FALSE))</f>
        <v>0</v>
      </c>
      <c r="AA124" s="1">
        <f>ROUND((Z124/6)*Weightings!$M$7,1)</f>
        <v>0</v>
      </c>
      <c r="AB124" s="2">
        <f>IF(ISNA(VLOOKUP($CZ124,'Audit Values'!$A$2:$AE$439,2,FALSE)),'Preliminary SO66'!H121,VLOOKUP($CZ124,'Audit Values'!$A$2:$AE$439,8,FALSE))</f>
        <v>74</v>
      </c>
      <c r="AC124" s="1">
        <f>ROUND(AB124*Weightings!$M$8,1)</f>
        <v>33.700000000000003</v>
      </c>
      <c r="AD124" s="1">
        <f t="shared" si="169"/>
        <v>2.6</v>
      </c>
      <c r="AE124" s="185">
        <v>14</v>
      </c>
      <c r="AF124" s="1">
        <f>AE124*Weightings!$M$9</f>
        <v>0.7</v>
      </c>
      <c r="AG124" s="1">
        <f>IF(ISNA(VLOOKUP($CZ124,'Audit Values'!$A$2:$AE$439,2,FALSE)),'Preliminary SO66'!L121,VLOOKUP($CZ124,'Audit Values'!$A$2:$AE$439,12,FALSE))</f>
        <v>0</v>
      </c>
      <c r="AH124" s="1">
        <f>ROUND(AG124*Weightings!$M$10,1)</f>
        <v>0</v>
      </c>
      <c r="AI124" s="1">
        <f>IF(ISNA(VLOOKUP($CZ124,'Audit Values'!$A$2:$AE$439,2,FALSE)),'Preliminary SO66'!O121,VLOOKUP($CZ124,'Audit Values'!$A$2:$AE$439,15,FALSE))</f>
        <v>56.5</v>
      </c>
      <c r="AJ124" s="1">
        <f t="shared" si="151"/>
        <v>22.1</v>
      </c>
      <c r="AK124" s="1">
        <f>CC124/Weightings!$M$5</f>
        <v>0</v>
      </c>
      <c r="AL124" s="1">
        <f>CD124/Weightings!$M$5</f>
        <v>0</v>
      </c>
      <c r="AM124" s="1">
        <f>CH124/Weightings!$M$5</f>
        <v>0</v>
      </c>
      <c r="AN124" s="1">
        <f>CV124</f>
        <v>0</v>
      </c>
      <c r="AO124" s="1">
        <f>IF(ISNA(VLOOKUP($CZ124,'Audit Values'!$A$2:$AE$439,2,FALSE)),'Preliminary SO66'!X121,VLOOKUP($CZ124,'Audit Values'!$A$2:$AE$439,24,FALSE))</f>
        <v>0</v>
      </c>
      <c r="AP124" s="188">
        <v>220521</v>
      </c>
      <c r="AQ124" s="113">
        <f>AP124/Weightings!$M$5</f>
        <v>57.5</v>
      </c>
      <c r="AR124" s="113">
        <f t="shared" si="152"/>
        <v>398.3</v>
      </c>
      <c r="AS124" s="1">
        <f t="shared" si="153"/>
        <v>455.8</v>
      </c>
      <c r="AT124" s="1">
        <f t="shared" si="154"/>
        <v>455.8</v>
      </c>
      <c r="AU124" s="2">
        <f t="shared" si="170"/>
        <v>0</v>
      </c>
      <c r="AV124" s="82">
        <f>IF(ISNA(VLOOKUP($CZ124,'Audit Values'!$A$2:$AC$360,2,FALSE)),"",IF(AND(Weightings!H124&gt;0,VLOOKUP($CZ124,'Audit Values'!$A$2:$AC$360,29,FALSE)&lt;Weightings!H124),Weightings!H124,VLOOKUP($CZ124,'Audit Values'!$A$2:$AC$360,29,FALSE)))</f>
        <v>27</v>
      </c>
      <c r="AW124" s="82" t="str">
        <f>IF(ISNA(VLOOKUP($CZ124,'Audit Values'!$A$2:$AD$360,2,FALSE)),"",VLOOKUP($CZ124,'Audit Values'!$A$2:$AD$360,30,FALSE))</f>
        <v>A</v>
      </c>
      <c r="AX124" s="82" t="str">
        <f>IF(Weightings!G124="","",IF(Weightings!I124="Pending","PX","R"))</f>
        <v>R</v>
      </c>
      <c r="AY124" s="114">
        <f>AR124*Weightings!$M$5+AU124</f>
        <v>1528675</v>
      </c>
      <c r="AZ124" s="2">
        <f>AT124*Weightings!$M$5+AU124</f>
        <v>1749360</v>
      </c>
      <c r="BA124" s="2">
        <f>IF(Weightings!G124&gt;0,Weightings!G124,'Preliminary SO66'!AB121)</f>
        <v>1783902</v>
      </c>
      <c r="BB124" s="2">
        <f t="shared" si="155"/>
        <v>1749360</v>
      </c>
      <c r="BC124" s="124"/>
      <c r="BD124" s="124">
        <f>Weightings!E124</f>
        <v>0</v>
      </c>
      <c r="BE124" s="124">
        <f>Weightings!F124</f>
        <v>0</v>
      </c>
      <c r="BF124" s="2">
        <f t="shared" si="156"/>
        <v>0</v>
      </c>
      <c r="BG124" s="2">
        <f t="shared" si="157"/>
        <v>1749360</v>
      </c>
      <c r="BH124" s="2">
        <f>MAX(ROUND(((AR124-AO124)*4433)+AP124,0),ROUND(((AR124-AO124)*4433)+Weightings!B124,0))</f>
        <v>1986185</v>
      </c>
      <c r="BI124" s="174">
        <v>0.3</v>
      </c>
      <c r="BJ124" s="2">
        <f t="shared" si="191"/>
        <v>595856</v>
      </c>
      <c r="BK124" s="173">
        <v>600315</v>
      </c>
      <c r="BL124" s="2">
        <f t="shared" si="158"/>
        <v>595856</v>
      </c>
      <c r="BM124" s="3">
        <f t="shared" si="171"/>
        <v>0.3</v>
      </c>
      <c r="BN124" s="1">
        <f t="shared" si="159"/>
        <v>0</v>
      </c>
      <c r="BO124" s="4" t="b">
        <f t="shared" si="160"/>
        <v>1</v>
      </c>
      <c r="BP124" s="5">
        <f t="shared" si="161"/>
        <v>820.67499999999995</v>
      </c>
      <c r="BQ124" s="6">
        <f>IF(BO124=TRUE,ROUND(((7337-BP124)/3642.4)-1,6),0)</f>
        <v>0.78902000000000005</v>
      </c>
      <c r="BR124" s="4">
        <f t="shared" si="162"/>
        <v>146</v>
      </c>
      <c r="BS124" s="4" t="b">
        <f t="shared" si="163"/>
        <v>0</v>
      </c>
      <c r="BT124" s="4">
        <f t="shared" si="164"/>
        <v>0</v>
      </c>
      <c r="BU124" s="6">
        <f>IF(BS124=TRUE,ROUND(((5406-BT124)/3642.4)-1,6),0)</f>
        <v>0</v>
      </c>
      <c r="BV124" s="1">
        <f t="shared" si="165"/>
        <v>0</v>
      </c>
      <c r="BW124" s="1">
        <f t="shared" si="166"/>
        <v>0</v>
      </c>
      <c r="BX124" s="116">
        <v>332.1</v>
      </c>
      <c r="BY124" s="7">
        <f t="shared" si="172"/>
        <v>0.17</v>
      </c>
      <c r="BZ124" s="7">
        <f>IF(ROUND((Weightings!$P$5*BY124^Weightings!$P$6*Weightings!$P$8 ),2)&lt;Weightings!$P$7,Weightings!$P$7,ROUND((Weightings!$P$5*BY124^Weightings!$P$6*Weightings!$P$8 ),2))</f>
        <v>1501.44</v>
      </c>
      <c r="CA124" s="8">
        <f>ROUND(BZ124/Weightings!$M$5,4)</f>
        <v>0.39119999999999999</v>
      </c>
      <c r="CB124" s="1">
        <f t="shared" si="173"/>
        <v>22.1</v>
      </c>
      <c r="CC124" s="173">
        <v>0</v>
      </c>
      <c r="CD124" s="173">
        <v>0</v>
      </c>
      <c r="CE124" s="173">
        <v>0</v>
      </c>
      <c r="CF124" s="177">
        <v>0</v>
      </c>
      <c r="CG124" s="2">
        <f>AS124*Weightings!$M$5*CF124</f>
        <v>0</v>
      </c>
      <c r="CH124" s="2">
        <f>IF(CE124&gt;CG124,CG124,CE124)</f>
        <v>0</v>
      </c>
      <c r="CI124" s="117">
        <f t="shared" si="167"/>
        <v>0.4</v>
      </c>
      <c r="CJ124" s="4">
        <f t="shared" si="168"/>
        <v>0.6</v>
      </c>
      <c r="CK124" s="1">
        <f t="shared" si="175"/>
        <v>0</v>
      </c>
      <c r="CL124" s="1">
        <f t="shared" si="176"/>
        <v>0</v>
      </c>
      <c r="CM124" s="1">
        <f t="shared" si="177"/>
        <v>2.6</v>
      </c>
      <c r="CN124" s="1">
        <f>IF(ISNA(VLOOKUP($CZ124,'Audit Values'!$A$2:$AE$439,2,FALSE)),'Preliminary SO66'!T121,VLOOKUP($CZ124,'Audit Values'!$A$2:$AE$439,20,FALSE))</f>
        <v>0</v>
      </c>
      <c r="CO124" s="1">
        <f t="shared" si="182"/>
        <v>0</v>
      </c>
      <c r="CP124" s="183">
        <v>0</v>
      </c>
      <c r="CQ124" s="1">
        <f t="shared" si="183"/>
        <v>0</v>
      </c>
      <c r="CR124" s="2">
        <f>IF(ISNA(VLOOKUP($CZ124,'Audit Values'!$A$2:$AE$439,2,FALSE)),'Preliminary SO66'!V121,VLOOKUP($CZ124,'Audit Values'!$A$2:$AE$439,22,FALSE))</f>
        <v>0</v>
      </c>
      <c r="CS124" s="1">
        <f t="shared" si="184"/>
        <v>0</v>
      </c>
      <c r="CT124" s="2">
        <f>IF(ISNA(VLOOKUP($CZ124,'Audit Values'!$A$2:$AE$439,2,FALSE)),'Preliminary SO66'!W121,VLOOKUP($CZ124,'Audit Values'!$A$2:$AE$439,23,FALSE))</f>
        <v>0</v>
      </c>
      <c r="CU124" s="1">
        <f>CT124*0.08</f>
        <v>0</v>
      </c>
      <c r="CV124" s="1">
        <f>CO124+CQ124+CS124+CU124</f>
        <v>0</v>
      </c>
      <c r="CW124" s="176">
        <v>0</v>
      </c>
      <c r="CX124" s="2">
        <f>IF(CW124&gt;0,Weightings!$M$11*AR124,0)</f>
        <v>0</v>
      </c>
      <c r="CY124" s="2">
        <f t="shared" si="178"/>
        <v>0</v>
      </c>
      <c r="CZ124" s="108" t="s">
        <v>416</v>
      </c>
    </row>
    <row r="125" spans="1:104">
      <c r="A125" s="82">
        <v>327</v>
      </c>
      <c r="B125" s="4" t="s">
        <v>56</v>
      </c>
      <c r="C125" s="4" t="s">
        <v>752</v>
      </c>
      <c r="D125" s="1">
        <v>575.6</v>
      </c>
      <c r="E125" s="1">
        <v>0</v>
      </c>
      <c r="F125" s="1">
        <f t="shared" si="187"/>
        <v>575.6</v>
      </c>
      <c r="G125" s="1">
        <v>575.6</v>
      </c>
      <c r="H125" s="1">
        <v>0</v>
      </c>
      <c r="I125" s="1">
        <f t="shared" si="142"/>
        <v>575.6</v>
      </c>
      <c r="J125" s="1">
        <f t="shared" si="143"/>
        <v>581.5</v>
      </c>
      <c r="K125" s="1">
        <f>IF(ISNA(VLOOKUP($CZ125,'Audit Values'!$A$2:$AE$439,2,FALSE)),'Preliminary SO66'!B122,VLOOKUP($CZ125,'Audit Values'!$A$2:$AE$439,31,FALSE))</f>
        <v>581.5</v>
      </c>
      <c r="L125" s="1">
        <f t="shared" si="144"/>
        <v>581.5</v>
      </c>
      <c r="M125" s="1">
        <f>IF(ISNA(VLOOKUP($CZ125,'Audit Values'!$A$2:$AE$439,2,FALSE)),'Preliminary SO66'!Z122,VLOOKUP($CZ125,'Audit Values'!$A$2:$AE$439,26,FALSE))</f>
        <v>0</v>
      </c>
      <c r="N125" s="1">
        <f t="shared" si="145"/>
        <v>581.5</v>
      </c>
      <c r="O125" s="1">
        <f>IF(ISNA(VLOOKUP($CZ125,'Audit Values'!$A$2:$AE$439,2,FALSE)),'Preliminary SO66'!C122,IF(VLOOKUP($CZ125,'Audit Values'!$A$2:$AE$439,28,FALSE)="",VLOOKUP($CZ125,'Audit Values'!$A$2:$AE$439,3,FALSE),VLOOKUP($CZ125,'Audit Values'!$A$2:$AE$439,28,FALSE)))</f>
        <v>0</v>
      </c>
      <c r="P125" s="109">
        <f t="shared" si="146"/>
        <v>581.5</v>
      </c>
      <c r="Q125" s="110">
        <f t="shared" si="147"/>
        <v>581.5</v>
      </c>
      <c r="R125" s="111">
        <f t="shared" si="148"/>
        <v>581.5</v>
      </c>
      <c r="S125" s="1">
        <f t="shared" si="149"/>
        <v>581.5</v>
      </c>
      <c r="T125" s="1">
        <f t="shared" si="185"/>
        <v>0</v>
      </c>
      <c r="U125" s="1">
        <f t="shared" si="150"/>
        <v>225.9</v>
      </c>
      <c r="V125" s="1">
        <f t="shared" si="179"/>
        <v>225.9</v>
      </c>
      <c r="W125" s="1">
        <f t="shared" si="180"/>
        <v>0</v>
      </c>
      <c r="X125" s="1">
        <f>IF(ISNA(VLOOKUP($CZ125,'Audit Values'!$A$2:$AE$439,2,FALSE)),'Preliminary SO66'!D122,VLOOKUP($CZ125,'Audit Values'!$A$2:$AE$439,4,FALSE))</f>
        <v>103</v>
      </c>
      <c r="Y125" s="1">
        <f>ROUND((X125/6)*Weightings!$M$6,1)</f>
        <v>8.6</v>
      </c>
      <c r="Z125" s="1">
        <f>IF(ISNA(VLOOKUP($CZ125,'Audit Values'!$A$2:$AE$439,2,FALSE)),'Preliminary SO66'!F122,VLOOKUP($CZ125,'Audit Values'!$A$2:$AE$439,6,FALSE))</f>
        <v>3.8</v>
      </c>
      <c r="AA125" s="1">
        <f>ROUND((Z125/6)*Weightings!$M$7,1)</f>
        <v>0.3</v>
      </c>
      <c r="AB125" s="2">
        <f>IF(ISNA(VLOOKUP($CZ125,'Audit Values'!$A$2:$AE$439,2,FALSE)),'Preliminary SO66'!H122,VLOOKUP($CZ125,'Audit Values'!$A$2:$AE$439,8,FALSE))</f>
        <v>177</v>
      </c>
      <c r="AC125" s="1">
        <f>ROUND(AB125*Weightings!$M$8,1)</f>
        <v>80.7</v>
      </c>
      <c r="AD125" s="1">
        <f t="shared" si="169"/>
        <v>0</v>
      </c>
      <c r="AE125" s="185">
        <v>57</v>
      </c>
      <c r="AF125" s="1">
        <f>AE125*Weightings!$M$9</f>
        <v>2.7</v>
      </c>
      <c r="AG125" s="1">
        <f>IF(ISNA(VLOOKUP($CZ125,'Audit Values'!$A$2:$AE$439,2,FALSE)),'Preliminary SO66'!L122,VLOOKUP($CZ125,'Audit Values'!$A$2:$AE$439,12,FALSE))</f>
        <v>0</v>
      </c>
      <c r="AH125" s="1">
        <f>ROUND(AG125*Weightings!$M$10,1)</f>
        <v>0</v>
      </c>
      <c r="AI125" s="1">
        <f>IF(ISNA(VLOOKUP($CZ125,'Audit Values'!$A$2:$AE$439,2,FALSE)),'Preliminary SO66'!O122,VLOOKUP($CZ125,'Audit Values'!$A$2:$AE$439,15,FALSE))</f>
        <v>217</v>
      </c>
      <c r="AJ125" s="1">
        <f t="shared" si="151"/>
        <v>66.099999999999994</v>
      </c>
      <c r="AK125" s="1">
        <f>CC125/Weightings!$M$5</f>
        <v>0</v>
      </c>
      <c r="AL125" s="1">
        <f>CD125/Weightings!$M$5</f>
        <v>0</v>
      </c>
      <c r="AM125" s="1">
        <f>CH125/Weightings!$M$5</f>
        <v>0</v>
      </c>
      <c r="AN125" s="1">
        <f t="shared" si="181"/>
        <v>0</v>
      </c>
      <c r="AO125" s="1">
        <f>IF(ISNA(VLOOKUP($CZ125,'Audit Values'!$A$2:$AE$439,2,FALSE)),'Preliminary SO66'!X122,VLOOKUP($CZ125,'Audit Values'!$A$2:$AE$439,24,FALSE))</f>
        <v>0</v>
      </c>
      <c r="AP125" s="188">
        <v>540480</v>
      </c>
      <c r="AQ125" s="113">
        <f>AP125/Weightings!$M$5</f>
        <v>140.80000000000001</v>
      </c>
      <c r="AR125" s="113">
        <f t="shared" si="152"/>
        <v>965.8</v>
      </c>
      <c r="AS125" s="1">
        <f t="shared" si="153"/>
        <v>1106.5999999999999</v>
      </c>
      <c r="AT125" s="1">
        <f t="shared" si="154"/>
        <v>1106.5999999999999</v>
      </c>
      <c r="AU125" s="2">
        <f t="shared" si="170"/>
        <v>0</v>
      </c>
      <c r="AV125" s="82">
        <f>IF(ISNA(VLOOKUP($CZ125,'Audit Values'!$A$2:$AC$360,2,FALSE)),"",IF(AND(Weightings!H125&gt;0,VLOOKUP($CZ125,'Audit Values'!$A$2:$AC$360,29,FALSE)&lt;Weightings!H125),Weightings!H125,VLOOKUP($CZ125,'Audit Values'!$A$2:$AC$360,29,FALSE)))</f>
        <v>25</v>
      </c>
      <c r="AW125" s="82" t="str">
        <f>IF(ISNA(VLOOKUP($CZ125,'Audit Values'!$A$2:$AD$360,2,FALSE)),"",VLOOKUP($CZ125,'Audit Values'!$A$2:$AD$360,30,FALSE))</f>
        <v>A</v>
      </c>
      <c r="AX125" s="82" t="str">
        <f>IF(Weightings!G125="","",IF(Weightings!I125="Pending","PX","R"))</f>
        <v>R</v>
      </c>
      <c r="AY125" s="114">
        <f>AR125*Weightings!$M$5+AU125</f>
        <v>3706740</v>
      </c>
      <c r="AZ125" s="2">
        <f>AT125*Weightings!$M$5+AU125</f>
        <v>4247131</v>
      </c>
      <c r="BA125" s="2">
        <f>IF(Weightings!G125&gt;0,Weightings!G125,'Preliminary SO66'!AB122)</f>
        <v>4314680</v>
      </c>
      <c r="BB125" s="2">
        <f t="shared" si="155"/>
        <v>4247131</v>
      </c>
      <c r="BC125" s="124"/>
      <c r="BD125" s="124">
        <f>Weightings!E125</f>
        <v>0</v>
      </c>
      <c r="BE125" s="124">
        <f>Weightings!F125</f>
        <v>0</v>
      </c>
      <c r="BF125" s="2">
        <f t="shared" si="156"/>
        <v>0</v>
      </c>
      <c r="BG125" s="2">
        <f t="shared" si="157"/>
        <v>4247131</v>
      </c>
      <c r="BH125" s="2">
        <f>MAX(ROUND(((AR125-AO125)*4433)+AP125,0),ROUND(((AR125-AO125)*4433)+Weightings!B125,0))</f>
        <v>4821871</v>
      </c>
      <c r="BI125" s="174">
        <v>0.3</v>
      </c>
      <c r="BJ125" s="2">
        <f t="shared" si="191"/>
        <v>1446561</v>
      </c>
      <c r="BK125" s="173">
        <v>1455000</v>
      </c>
      <c r="BL125" s="2">
        <f t="shared" si="158"/>
        <v>1446561</v>
      </c>
      <c r="BM125" s="3">
        <f t="shared" si="171"/>
        <v>0.3</v>
      </c>
      <c r="BN125" s="1">
        <f t="shared" si="159"/>
        <v>0</v>
      </c>
      <c r="BO125" s="4" t="b">
        <f t="shared" si="160"/>
        <v>0</v>
      </c>
      <c r="BP125" s="5">
        <f t="shared" si="161"/>
        <v>0</v>
      </c>
      <c r="BQ125" s="6">
        <f t="shared" si="140"/>
        <v>0</v>
      </c>
      <c r="BR125" s="4">
        <f t="shared" si="162"/>
        <v>0</v>
      </c>
      <c r="BS125" s="4" t="b">
        <f t="shared" si="163"/>
        <v>1</v>
      </c>
      <c r="BT125" s="4">
        <f t="shared" si="164"/>
        <v>348.35629999999998</v>
      </c>
      <c r="BU125" s="6">
        <f t="shared" si="141"/>
        <v>0.38854699999999998</v>
      </c>
      <c r="BV125" s="1">
        <f t="shared" si="165"/>
        <v>225.9</v>
      </c>
      <c r="BW125" s="1">
        <f t="shared" si="166"/>
        <v>0</v>
      </c>
      <c r="BX125" s="116">
        <v>425.3</v>
      </c>
      <c r="BY125" s="7">
        <f t="shared" si="172"/>
        <v>0.51</v>
      </c>
      <c r="BZ125" s="7">
        <f>IF(ROUND((Weightings!$P$5*BY125^Weightings!$P$6*Weightings!$P$8 ),2)&lt;Weightings!$P$7,Weightings!$P$7,ROUND((Weightings!$P$5*BY125^Weightings!$P$6*Weightings!$P$8 ),2))</f>
        <v>1168.6300000000001</v>
      </c>
      <c r="CA125" s="8">
        <f>ROUND(BZ125/Weightings!$M$5,4)</f>
        <v>0.30449999999999999</v>
      </c>
      <c r="CB125" s="1">
        <f t="shared" si="173"/>
        <v>66.099999999999994</v>
      </c>
      <c r="CC125" s="173">
        <v>0</v>
      </c>
      <c r="CD125" s="173">
        <v>0</v>
      </c>
      <c r="CE125" s="173">
        <v>0</v>
      </c>
      <c r="CF125" s="177">
        <v>0</v>
      </c>
      <c r="CG125" s="2">
        <f>AS125*Weightings!$M$5*CF125</f>
        <v>0</v>
      </c>
      <c r="CH125" s="2">
        <f t="shared" si="174"/>
        <v>0</v>
      </c>
      <c r="CI125" s="117">
        <f t="shared" si="167"/>
        <v>0.30399999999999999</v>
      </c>
      <c r="CJ125" s="4">
        <f t="shared" si="168"/>
        <v>1.4</v>
      </c>
      <c r="CK125" s="1">
        <f t="shared" si="175"/>
        <v>0</v>
      </c>
      <c r="CL125" s="1">
        <f t="shared" si="176"/>
        <v>0</v>
      </c>
      <c r="CM125" s="1">
        <f t="shared" si="177"/>
        <v>0</v>
      </c>
      <c r="CN125" s="1">
        <f>IF(ISNA(VLOOKUP($CZ125,'Audit Values'!$A$2:$AE$439,2,FALSE)),'Preliminary SO66'!T122,VLOOKUP($CZ125,'Audit Values'!$A$2:$AE$439,20,FALSE))</f>
        <v>0</v>
      </c>
      <c r="CO125" s="1">
        <f t="shared" si="182"/>
        <v>0</v>
      </c>
      <c r="CP125" s="183">
        <v>0</v>
      </c>
      <c r="CQ125" s="1">
        <f t="shared" si="183"/>
        <v>0</v>
      </c>
      <c r="CR125" s="2">
        <f>IF(ISNA(VLOOKUP($CZ125,'Audit Values'!$A$2:$AE$439,2,FALSE)),'Preliminary SO66'!V122,VLOOKUP($CZ125,'Audit Values'!$A$2:$AE$439,22,FALSE))</f>
        <v>0</v>
      </c>
      <c r="CS125" s="1">
        <f t="shared" si="184"/>
        <v>0</v>
      </c>
      <c r="CT125" s="2">
        <f>IF(ISNA(VLOOKUP($CZ125,'Audit Values'!$A$2:$AE$439,2,FALSE)),'Preliminary SO66'!W122,VLOOKUP($CZ125,'Audit Values'!$A$2:$AE$439,23,FALSE))</f>
        <v>0</v>
      </c>
      <c r="CU125" s="1">
        <f>CT125*0.08</f>
        <v>0</v>
      </c>
      <c r="CV125" s="1">
        <f>CO125+CQ125+CS125+CU125</f>
        <v>0</v>
      </c>
      <c r="CW125" s="176">
        <v>0</v>
      </c>
      <c r="CX125" s="2">
        <f>IF(CW125&gt;0,Weightings!$M$11*AR125,0)</f>
        <v>0</v>
      </c>
      <c r="CY125" s="2">
        <f t="shared" si="178"/>
        <v>0</v>
      </c>
      <c r="CZ125" s="108" t="s">
        <v>417</v>
      </c>
    </row>
    <row r="126" spans="1:104">
      <c r="A126" s="82">
        <v>329</v>
      </c>
      <c r="B126" s="4" t="s">
        <v>57</v>
      </c>
      <c r="C126" s="4" t="s">
        <v>753</v>
      </c>
      <c r="D126" s="1">
        <v>451.6</v>
      </c>
      <c r="E126" s="1">
        <v>0</v>
      </c>
      <c r="F126" s="1">
        <f t="shared" si="187"/>
        <v>451.6</v>
      </c>
      <c r="G126" s="1">
        <v>456</v>
      </c>
      <c r="H126" s="1">
        <v>0</v>
      </c>
      <c r="I126" s="1">
        <f t="shared" si="142"/>
        <v>456</v>
      </c>
      <c r="J126" s="1">
        <f t="shared" si="143"/>
        <v>471.5</v>
      </c>
      <c r="K126" s="1">
        <f>IF(ISNA(VLOOKUP($CZ126,'Audit Values'!$A$2:$AE$439,2,FALSE)),'Preliminary SO66'!B123,VLOOKUP($CZ126,'Audit Values'!$A$2:$AE$439,31,FALSE))</f>
        <v>471.5</v>
      </c>
      <c r="L126" s="1">
        <f t="shared" si="144"/>
        <v>471.5</v>
      </c>
      <c r="M126" s="1">
        <f>IF(ISNA(VLOOKUP($CZ126,'Audit Values'!$A$2:$AE$439,2,FALSE)),'Preliminary SO66'!Z123,VLOOKUP($CZ126,'Audit Values'!$A$2:$AE$439,26,FALSE))</f>
        <v>0</v>
      </c>
      <c r="N126" s="1">
        <f t="shared" si="145"/>
        <v>471.5</v>
      </c>
      <c r="O126" s="1">
        <f>IF(ISNA(VLOOKUP($CZ126,'Audit Values'!$A$2:$AE$439,2,FALSE)),'Preliminary SO66'!C123,IF(VLOOKUP($CZ126,'Audit Values'!$A$2:$AE$439,28,FALSE)="",VLOOKUP($CZ126,'Audit Values'!$A$2:$AE$439,3,FALSE),VLOOKUP($CZ126,'Audit Values'!$A$2:$AE$439,28,FALSE)))</f>
        <v>0</v>
      </c>
      <c r="P126" s="109">
        <f t="shared" si="146"/>
        <v>471.5</v>
      </c>
      <c r="Q126" s="110">
        <f t="shared" si="147"/>
        <v>471.5</v>
      </c>
      <c r="R126" s="111">
        <f t="shared" si="148"/>
        <v>471.5</v>
      </c>
      <c r="S126" s="1">
        <f t="shared" si="149"/>
        <v>471.5</v>
      </c>
      <c r="T126" s="1">
        <f t="shared" si="185"/>
        <v>0</v>
      </c>
      <c r="U126" s="1">
        <f t="shared" si="150"/>
        <v>200.8</v>
      </c>
      <c r="V126" s="1">
        <f t="shared" si="179"/>
        <v>200.8</v>
      </c>
      <c r="W126" s="1">
        <f t="shared" si="180"/>
        <v>0</v>
      </c>
      <c r="X126" s="1">
        <f>IF(ISNA(VLOOKUP($CZ126,'Audit Values'!$A$2:$AE$439,2,FALSE)),'Preliminary SO66'!D123,VLOOKUP($CZ126,'Audit Values'!$A$2:$AE$439,4,FALSE))</f>
        <v>210.5</v>
      </c>
      <c r="Y126" s="1">
        <f>ROUND((X126/6)*Weightings!$M$6,1)</f>
        <v>17.5</v>
      </c>
      <c r="Z126" s="1">
        <f>IF(ISNA(VLOOKUP($CZ126,'Audit Values'!$A$2:$AE$439,2,FALSE)),'Preliminary SO66'!F123,VLOOKUP($CZ126,'Audit Values'!$A$2:$AE$439,6,FALSE))</f>
        <v>0</v>
      </c>
      <c r="AA126" s="1">
        <f>ROUND((Z126/6)*Weightings!$M$7,1)</f>
        <v>0</v>
      </c>
      <c r="AB126" s="2">
        <f>IF(ISNA(VLOOKUP($CZ126,'Audit Values'!$A$2:$AE$439,2,FALSE)),'Preliminary SO66'!H123,VLOOKUP($CZ126,'Audit Values'!$A$2:$AE$439,8,FALSE))</f>
        <v>125</v>
      </c>
      <c r="AC126" s="1">
        <f>ROUND(AB126*Weightings!$M$8,1)</f>
        <v>57</v>
      </c>
      <c r="AD126" s="1">
        <f t="shared" si="169"/>
        <v>0</v>
      </c>
      <c r="AE126" s="185">
        <v>24</v>
      </c>
      <c r="AF126" s="1">
        <f>AE126*Weightings!$M$9</f>
        <v>1.1000000000000001</v>
      </c>
      <c r="AG126" s="1">
        <f>IF(ISNA(VLOOKUP($CZ126,'Audit Values'!$A$2:$AE$439,2,FALSE)),'Preliminary SO66'!L123,VLOOKUP($CZ126,'Audit Values'!$A$2:$AE$439,12,FALSE))</f>
        <v>0</v>
      </c>
      <c r="AH126" s="1">
        <f>ROUND(AG126*Weightings!$M$10,1)</f>
        <v>0</v>
      </c>
      <c r="AI126" s="1">
        <f>IF(ISNA(VLOOKUP($CZ126,'Audit Values'!$A$2:$AE$439,2,FALSE)),'Preliminary SO66'!O123,VLOOKUP($CZ126,'Audit Values'!$A$2:$AE$439,15,FALSE))</f>
        <v>296</v>
      </c>
      <c r="AJ126" s="1">
        <f t="shared" si="151"/>
        <v>82.5</v>
      </c>
      <c r="AK126" s="1">
        <f>CC126/Weightings!$M$5</f>
        <v>0</v>
      </c>
      <c r="AL126" s="1">
        <f>CD126/Weightings!$M$5</f>
        <v>0</v>
      </c>
      <c r="AM126" s="1">
        <f>CH126/Weightings!$M$5</f>
        <v>0</v>
      </c>
      <c r="AN126" s="1">
        <f t="shared" si="181"/>
        <v>0</v>
      </c>
      <c r="AO126" s="1">
        <f>IF(ISNA(VLOOKUP($CZ126,'Audit Values'!$A$2:$AE$439,2,FALSE)),'Preliminary SO66'!X123,VLOOKUP($CZ126,'Audit Values'!$A$2:$AE$439,24,FALSE))</f>
        <v>1</v>
      </c>
      <c r="AP126" s="188">
        <v>461074</v>
      </c>
      <c r="AQ126" s="113">
        <f>AP126/Weightings!$M$5</f>
        <v>120.1</v>
      </c>
      <c r="AR126" s="113">
        <f t="shared" si="152"/>
        <v>831.4</v>
      </c>
      <c r="AS126" s="1">
        <f t="shared" si="153"/>
        <v>951.5</v>
      </c>
      <c r="AT126" s="1">
        <f t="shared" si="154"/>
        <v>951.5</v>
      </c>
      <c r="AU126" s="2">
        <f t="shared" si="170"/>
        <v>50000</v>
      </c>
      <c r="AV126" s="82">
        <f>IF(ISNA(VLOOKUP($CZ126,'Audit Values'!$A$2:$AC$360,2,FALSE)),"",IF(AND(Weightings!H126&gt;0,VLOOKUP($CZ126,'Audit Values'!$A$2:$AC$360,29,FALSE)&lt;Weightings!H126),Weightings!H126,VLOOKUP($CZ126,'Audit Values'!$A$2:$AC$360,29,FALSE)))</f>
        <v>11</v>
      </c>
      <c r="AW126" s="82" t="str">
        <f>IF(ISNA(VLOOKUP($CZ126,'Audit Values'!$A$2:$AD$360,2,FALSE)),"",VLOOKUP($CZ126,'Audit Values'!$A$2:$AD$360,30,FALSE))</f>
        <v>A</v>
      </c>
      <c r="AX126" s="82" t="str">
        <f>IF(Weightings!G126="","",IF(Weightings!I126="Pending","PX","R"))</f>
        <v>R</v>
      </c>
      <c r="AY126" s="114">
        <f>AR126*Weightings!$M$5+AU126</f>
        <v>3240913</v>
      </c>
      <c r="AZ126" s="2">
        <f>AT126*Weightings!$M$5+AU126</f>
        <v>3701857</v>
      </c>
      <c r="BA126" s="2">
        <f>IF(Weightings!G126&gt;0,Weightings!G126,'Preliminary SO66'!AB123)</f>
        <v>3778233</v>
      </c>
      <c r="BB126" s="2">
        <f t="shared" si="155"/>
        <v>3701857</v>
      </c>
      <c r="BC126" s="124"/>
      <c r="BD126" s="124">
        <f>Weightings!E126</f>
        <v>0</v>
      </c>
      <c r="BE126" s="124">
        <f>Weightings!F126</f>
        <v>0</v>
      </c>
      <c r="BF126" s="2">
        <f t="shared" si="156"/>
        <v>0</v>
      </c>
      <c r="BG126" s="2">
        <f t="shared" si="157"/>
        <v>3701857</v>
      </c>
      <c r="BH126" s="2">
        <f>MAX(ROUND(((AR126-AO126)*4433)+AP126,0),ROUND(((AR126-AO126)*4433)+Weightings!B126,0))</f>
        <v>4218125</v>
      </c>
      <c r="BI126" s="174">
        <v>0.3</v>
      </c>
      <c r="BJ126" s="2">
        <f t="shared" si="191"/>
        <v>1265438</v>
      </c>
      <c r="BK126" s="173">
        <v>1224743</v>
      </c>
      <c r="BL126" s="2">
        <f t="shared" si="158"/>
        <v>1224743</v>
      </c>
      <c r="BM126" s="3">
        <f t="shared" si="171"/>
        <v>0.29039999999999999</v>
      </c>
      <c r="BN126" s="1">
        <f t="shared" si="159"/>
        <v>0</v>
      </c>
      <c r="BO126" s="4" t="b">
        <f t="shared" si="160"/>
        <v>0</v>
      </c>
      <c r="BP126" s="5">
        <f t="shared" si="161"/>
        <v>0</v>
      </c>
      <c r="BQ126" s="6">
        <f t="shared" si="140"/>
        <v>0</v>
      </c>
      <c r="BR126" s="4">
        <f t="shared" si="162"/>
        <v>0</v>
      </c>
      <c r="BS126" s="4" t="b">
        <f t="shared" si="163"/>
        <v>1</v>
      </c>
      <c r="BT126" s="4">
        <f t="shared" si="164"/>
        <v>212.2313</v>
      </c>
      <c r="BU126" s="6">
        <f t="shared" si="141"/>
        <v>0.42591899999999999</v>
      </c>
      <c r="BV126" s="1">
        <f t="shared" si="165"/>
        <v>200.8</v>
      </c>
      <c r="BW126" s="1">
        <f t="shared" si="166"/>
        <v>0</v>
      </c>
      <c r="BX126" s="116">
        <v>397</v>
      </c>
      <c r="BY126" s="7">
        <f t="shared" si="172"/>
        <v>0.75</v>
      </c>
      <c r="BZ126" s="7">
        <f>IF(ROUND((Weightings!$P$5*BY126^Weightings!$P$6*Weightings!$P$8 ),2)&lt;Weightings!$P$7,Weightings!$P$7,ROUND((Weightings!$P$5*BY126^Weightings!$P$6*Weightings!$P$8 ),2))</f>
        <v>1070.22</v>
      </c>
      <c r="CA126" s="8">
        <f>ROUND(BZ126/Weightings!$M$5,4)</f>
        <v>0.27879999999999999</v>
      </c>
      <c r="CB126" s="1">
        <f t="shared" si="173"/>
        <v>82.5</v>
      </c>
      <c r="CC126" s="173">
        <v>0</v>
      </c>
      <c r="CD126" s="173">
        <v>0</v>
      </c>
      <c r="CE126" s="173">
        <v>0</v>
      </c>
      <c r="CF126" s="177">
        <v>0</v>
      </c>
      <c r="CG126" s="2">
        <f>AS126*Weightings!$M$5*CF126</f>
        <v>0</v>
      </c>
      <c r="CH126" s="2">
        <f t="shared" si="174"/>
        <v>0</v>
      </c>
      <c r="CI126" s="117">
        <f t="shared" si="167"/>
        <v>0.26500000000000001</v>
      </c>
      <c r="CJ126" s="4">
        <f t="shared" si="168"/>
        <v>1.2</v>
      </c>
      <c r="CK126" s="1">
        <f t="shared" si="175"/>
        <v>0</v>
      </c>
      <c r="CL126" s="1">
        <f t="shared" si="176"/>
        <v>0</v>
      </c>
      <c r="CM126" s="1">
        <f t="shared" si="177"/>
        <v>0</v>
      </c>
      <c r="CN126" s="1">
        <f>IF(ISNA(VLOOKUP($CZ126,'Audit Values'!$A$2:$AE$439,2,FALSE)),'Preliminary SO66'!T123,VLOOKUP($CZ126,'Audit Values'!$A$2:$AE$439,20,FALSE))</f>
        <v>0</v>
      </c>
      <c r="CO126" s="1">
        <f t="shared" si="182"/>
        <v>0</v>
      </c>
      <c r="CP126" s="183">
        <v>0</v>
      </c>
      <c r="CQ126" s="1">
        <f t="shared" si="183"/>
        <v>0</v>
      </c>
      <c r="CR126" s="2">
        <f>IF(ISNA(VLOOKUP($CZ126,'Audit Values'!$A$2:$AE$439,2,FALSE)),'Preliminary SO66'!V123,VLOOKUP($CZ126,'Audit Values'!$A$2:$AE$439,22,FALSE))</f>
        <v>0</v>
      </c>
      <c r="CS126" s="1">
        <f t="shared" si="184"/>
        <v>0</v>
      </c>
      <c r="CT126" s="2">
        <f>IF(ISNA(VLOOKUP($CZ126,'Audit Values'!$A$2:$AE$439,2,FALSE)),'Preliminary SO66'!W123,VLOOKUP($CZ126,'Audit Values'!$A$2:$AE$439,23,FALSE))</f>
        <v>0</v>
      </c>
      <c r="CU126" s="1">
        <f t="shared" ref="CU126:CU150" si="192">CT126*0.08</f>
        <v>0</v>
      </c>
      <c r="CV126" s="1">
        <f t="shared" ref="CV126:CV150" si="193">CO126+CQ126+CS126+CU126</f>
        <v>0</v>
      </c>
      <c r="CW126" s="176">
        <v>50000</v>
      </c>
      <c r="CX126" s="2">
        <f>IF(CW126&gt;0,Weightings!$M$11*AR126,0)</f>
        <v>207850</v>
      </c>
      <c r="CY126" s="2">
        <f t="shared" si="178"/>
        <v>50000</v>
      </c>
      <c r="CZ126" s="108" t="s">
        <v>418</v>
      </c>
    </row>
    <row r="127" spans="1:104">
      <c r="A127" s="82">
        <v>330</v>
      </c>
      <c r="B127" s="4" t="s">
        <v>57</v>
      </c>
      <c r="C127" s="4" t="s">
        <v>754</v>
      </c>
      <c r="D127" s="1">
        <v>475.1</v>
      </c>
      <c r="E127" s="1">
        <v>0</v>
      </c>
      <c r="F127" s="1">
        <f t="shared" si="187"/>
        <v>475.1</v>
      </c>
      <c r="G127" s="1">
        <v>478.1</v>
      </c>
      <c r="H127" s="1">
        <v>0</v>
      </c>
      <c r="I127" s="1">
        <f t="shared" si="142"/>
        <v>478.1</v>
      </c>
      <c r="J127" s="1">
        <f t="shared" si="143"/>
        <v>474.1</v>
      </c>
      <c r="K127" s="1">
        <f>IF(ISNA(VLOOKUP($CZ127,'Audit Values'!$A$2:$AE$439,2,FALSE)),'Preliminary SO66'!B124,VLOOKUP($CZ127,'Audit Values'!$A$2:$AE$439,31,FALSE))</f>
        <v>474.1</v>
      </c>
      <c r="L127" s="1">
        <f t="shared" si="144"/>
        <v>478.1</v>
      </c>
      <c r="M127" s="1">
        <f>IF(ISNA(VLOOKUP($CZ127,'Audit Values'!$A$2:$AE$439,2,FALSE)),'Preliminary SO66'!Z124,VLOOKUP($CZ127,'Audit Values'!$A$2:$AE$439,26,FALSE))</f>
        <v>0</v>
      </c>
      <c r="N127" s="1">
        <f t="shared" si="145"/>
        <v>478.1</v>
      </c>
      <c r="O127" s="1">
        <f>IF(ISNA(VLOOKUP($CZ127,'Audit Values'!$A$2:$AE$439,2,FALSE)),'Preliminary SO66'!C124,IF(VLOOKUP($CZ127,'Audit Values'!$A$2:$AE$439,28,FALSE)="",VLOOKUP($CZ127,'Audit Values'!$A$2:$AE$439,3,FALSE),VLOOKUP($CZ127,'Audit Values'!$A$2:$AE$439,28,FALSE)))</f>
        <v>0</v>
      </c>
      <c r="P127" s="109">
        <f t="shared" si="146"/>
        <v>474.1</v>
      </c>
      <c r="Q127" s="110">
        <f t="shared" si="147"/>
        <v>474.1</v>
      </c>
      <c r="R127" s="111">
        <f t="shared" si="148"/>
        <v>474.1</v>
      </c>
      <c r="S127" s="1">
        <f t="shared" si="149"/>
        <v>478.1</v>
      </c>
      <c r="T127" s="1">
        <f t="shared" si="185"/>
        <v>0</v>
      </c>
      <c r="U127" s="1">
        <f t="shared" si="150"/>
        <v>202.6</v>
      </c>
      <c r="V127" s="1">
        <f t="shared" si="179"/>
        <v>202.6</v>
      </c>
      <c r="W127" s="1">
        <f t="shared" si="180"/>
        <v>0</v>
      </c>
      <c r="X127" s="1">
        <f>IF(ISNA(VLOOKUP($CZ127,'Audit Values'!$A$2:$AE$439,2,FALSE)),'Preliminary SO66'!D124,VLOOKUP($CZ127,'Audit Values'!$A$2:$AE$439,4,FALSE))</f>
        <v>205.2</v>
      </c>
      <c r="Y127" s="1">
        <f>ROUND((X127/6)*Weightings!$M$6,1)</f>
        <v>17.100000000000001</v>
      </c>
      <c r="Z127" s="1">
        <f>IF(ISNA(VLOOKUP($CZ127,'Audit Values'!$A$2:$AE$439,2,FALSE)),'Preliminary SO66'!F124,VLOOKUP($CZ127,'Audit Values'!$A$2:$AE$439,6,FALSE))</f>
        <v>0</v>
      </c>
      <c r="AA127" s="1">
        <f>ROUND((Z127/6)*Weightings!$M$7,1)</f>
        <v>0</v>
      </c>
      <c r="AB127" s="2">
        <f>IF(ISNA(VLOOKUP($CZ127,'Audit Values'!$A$2:$AE$439,2,FALSE)),'Preliminary SO66'!H124,VLOOKUP($CZ127,'Audit Values'!$A$2:$AE$439,8,FALSE))</f>
        <v>132</v>
      </c>
      <c r="AC127" s="1">
        <f>ROUND(AB127*Weightings!$M$8,1)</f>
        <v>60.2</v>
      </c>
      <c r="AD127" s="1">
        <f t="shared" si="169"/>
        <v>0</v>
      </c>
      <c r="AE127" s="185">
        <v>38</v>
      </c>
      <c r="AF127" s="1">
        <f>AE127*Weightings!$M$9</f>
        <v>1.8</v>
      </c>
      <c r="AG127" s="1">
        <f>IF(ISNA(VLOOKUP($CZ127,'Audit Values'!$A$2:$AE$439,2,FALSE)),'Preliminary SO66'!L124,VLOOKUP($CZ127,'Audit Values'!$A$2:$AE$439,12,FALSE))</f>
        <v>0</v>
      </c>
      <c r="AH127" s="1">
        <f>ROUND(AG127*Weightings!$M$10,1)</f>
        <v>0</v>
      </c>
      <c r="AI127" s="1">
        <f>IF(ISNA(VLOOKUP($CZ127,'Audit Values'!$A$2:$AE$439,2,FALSE)),'Preliminary SO66'!O124,VLOOKUP($CZ127,'Audit Values'!$A$2:$AE$439,15,FALSE))</f>
        <v>408</v>
      </c>
      <c r="AJ127" s="1">
        <f t="shared" si="151"/>
        <v>104.2</v>
      </c>
      <c r="AK127" s="1">
        <f>CC127/Weightings!$M$5</f>
        <v>0</v>
      </c>
      <c r="AL127" s="1">
        <f>CD127/Weightings!$M$5</f>
        <v>0</v>
      </c>
      <c r="AM127" s="1">
        <f>CH127/Weightings!$M$5</f>
        <v>0</v>
      </c>
      <c r="AN127" s="1">
        <f t="shared" si="181"/>
        <v>0</v>
      </c>
      <c r="AO127" s="1">
        <f>IF(ISNA(VLOOKUP($CZ127,'Audit Values'!$A$2:$AE$439,2,FALSE)),'Preliminary SO66'!X124,VLOOKUP($CZ127,'Audit Values'!$A$2:$AE$439,24,FALSE))</f>
        <v>0</v>
      </c>
      <c r="AP127" s="188">
        <v>757933</v>
      </c>
      <c r="AQ127" s="113">
        <f>AP127/Weightings!$M$5</f>
        <v>197.5</v>
      </c>
      <c r="AR127" s="113">
        <f t="shared" si="152"/>
        <v>864</v>
      </c>
      <c r="AS127" s="1">
        <f t="shared" si="153"/>
        <v>1061.5</v>
      </c>
      <c r="AT127" s="1">
        <f t="shared" si="154"/>
        <v>1061.5</v>
      </c>
      <c r="AU127" s="2">
        <f t="shared" si="170"/>
        <v>0</v>
      </c>
      <c r="AV127" s="82">
        <f>IF(ISNA(VLOOKUP($CZ127,'Audit Values'!$A$2:$AC$360,2,FALSE)),"",IF(AND(Weightings!H127&gt;0,VLOOKUP($CZ127,'Audit Values'!$A$2:$AC$360,29,FALSE)&lt;Weightings!H127),Weightings!H127,VLOOKUP($CZ127,'Audit Values'!$A$2:$AC$360,29,FALSE)))</f>
        <v>16</v>
      </c>
      <c r="AW127" s="82" t="str">
        <f>IF(ISNA(VLOOKUP($CZ127,'Audit Values'!$A$2:$AD$360,2,FALSE)),"",VLOOKUP($CZ127,'Audit Values'!$A$2:$AD$360,30,FALSE))</f>
        <v>A</v>
      </c>
      <c r="AX127" s="82" t="str">
        <f>IF(Weightings!G127="","",IF(Weightings!I127="Pending","PX","R"))</f>
        <v>R</v>
      </c>
      <c r="AY127" s="114">
        <f>AR127*Weightings!$M$5+AU127</f>
        <v>3316032</v>
      </c>
      <c r="AZ127" s="2">
        <f>AT127*Weightings!$M$5+AU127</f>
        <v>4074037</v>
      </c>
      <c r="BA127" s="2">
        <f>IF(Weightings!G127&gt;0,Weightings!G127,'Preliminary SO66'!AB124)</f>
        <v>4074037</v>
      </c>
      <c r="BB127" s="2">
        <f t="shared" si="155"/>
        <v>4074037</v>
      </c>
      <c r="BC127" s="124"/>
      <c r="BD127" s="124">
        <f>Weightings!E127</f>
        <v>0</v>
      </c>
      <c r="BE127" s="124">
        <f>Weightings!F127</f>
        <v>0</v>
      </c>
      <c r="BF127" s="2">
        <f t="shared" si="156"/>
        <v>0</v>
      </c>
      <c r="BG127" s="2">
        <f t="shared" si="157"/>
        <v>4074037</v>
      </c>
      <c r="BH127" s="2">
        <f>MAX(ROUND(((AR127-AO127)*4433)+AP127,0),ROUND(((AR127-AO127)*4433)+Weightings!B127,0))</f>
        <v>4588045</v>
      </c>
      <c r="BI127" s="174">
        <v>0.3</v>
      </c>
      <c r="BJ127" s="2">
        <f t="shared" si="191"/>
        <v>1376414</v>
      </c>
      <c r="BK127" s="173">
        <v>1317000</v>
      </c>
      <c r="BL127" s="2">
        <f t="shared" ref="BL127:BL189" si="194">MIN(BJ127,BK127)</f>
        <v>1317000</v>
      </c>
      <c r="BM127" s="3">
        <f t="shared" si="171"/>
        <v>0.28710000000000002</v>
      </c>
      <c r="BN127" s="1">
        <f t="shared" si="159"/>
        <v>0</v>
      </c>
      <c r="BO127" s="4" t="b">
        <f t="shared" si="160"/>
        <v>0</v>
      </c>
      <c r="BP127" s="5">
        <f t="shared" si="161"/>
        <v>0</v>
      </c>
      <c r="BQ127" s="6">
        <f t="shared" ref="BQ127:BQ189" si="195">IF(BO127=TRUE,ROUND(((7337-BP127)/3642.4)-1,6),0)</f>
        <v>0</v>
      </c>
      <c r="BR127" s="4">
        <f t="shared" si="162"/>
        <v>0</v>
      </c>
      <c r="BS127" s="4" t="b">
        <f t="shared" si="163"/>
        <v>1</v>
      </c>
      <c r="BT127" s="4">
        <f t="shared" si="164"/>
        <v>220.39879999999999</v>
      </c>
      <c r="BU127" s="6">
        <f t="shared" ref="BU127:BU189" si="196">IF(BS127=TRUE,ROUND(((5406-BT127)/3642.4)-1,6),0)</f>
        <v>0.42367700000000003</v>
      </c>
      <c r="BV127" s="1">
        <f t="shared" si="165"/>
        <v>202.6</v>
      </c>
      <c r="BW127" s="1">
        <f t="shared" si="166"/>
        <v>0</v>
      </c>
      <c r="BX127" s="116">
        <v>370</v>
      </c>
      <c r="BY127" s="7">
        <f t="shared" si="172"/>
        <v>1.1000000000000001</v>
      </c>
      <c r="BZ127" s="7">
        <f>IF(ROUND((Weightings!$P$5*BY127^Weightings!$P$6*Weightings!$P$8 ),2)&lt;Weightings!$P$7,Weightings!$P$7,ROUND((Weightings!$P$5*BY127^Weightings!$P$6*Weightings!$P$8 ),2))</f>
        <v>980.69</v>
      </c>
      <c r="CA127" s="8">
        <f>ROUND(BZ127/Weightings!$M$5,4)</f>
        <v>0.2555</v>
      </c>
      <c r="CB127" s="1">
        <f t="shared" si="173"/>
        <v>104.2</v>
      </c>
      <c r="CC127" s="173">
        <v>0</v>
      </c>
      <c r="CD127" s="173">
        <v>0</v>
      </c>
      <c r="CE127" s="173">
        <v>0</v>
      </c>
      <c r="CF127" s="177">
        <v>0</v>
      </c>
      <c r="CG127" s="2">
        <f>AS127*Weightings!$M$5*CF127</f>
        <v>0</v>
      </c>
      <c r="CH127" s="2">
        <f t="shared" si="174"/>
        <v>0</v>
      </c>
      <c r="CI127" s="117">
        <f t="shared" si="167"/>
        <v>0.27600000000000002</v>
      </c>
      <c r="CJ127" s="4">
        <f t="shared" si="168"/>
        <v>1.3</v>
      </c>
      <c r="CK127" s="1">
        <f t="shared" si="175"/>
        <v>0</v>
      </c>
      <c r="CL127" s="1">
        <f t="shared" si="176"/>
        <v>0</v>
      </c>
      <c r="CM127" s="1">
        <f t="shared" si="177"/>
        <v>0</v>
      </c>
      <c r="CN127" s="1">
        <f>IF(ISNA(VLOOKUP($CZ127,'Audit Values'!$A$2:$AE$439,2,FALSE)),'Preliminary SO66'!T124,VLOOKUP($CZ127,'Audit Values'!$A$2:$AE$439,20,FALSE))</f>
        <v>0</v>
      </c>
      <c r="CO127" s="1">
        <f t="shared" si="182"/>
        <v>0</v>
      </c>
      <c r="CP127" s="183">
        <v>0</v>
      </c>
      <c r="CQ127" s="1">
        <f t="shared" si="183"/>
        <v>0</v>
      </c>
      <c r="CR127" s="2">
        <f>IF(ISNA(VLOOKUP($CZ127,'Audit Values'!$A$2:$AE$439,2,FALSE)),'Preliminary SO66'!V124,VLOOKUP($CZ127,'Audit Values'!$A$2:$AE$439,22,FALSE))</f>
        <v>0</v>
      </c>
      <c r="CS127" s="1">
        <f t="shared" si="184"/>
        <v>0</v>
      </c>
      <c r="CT127" s="2">
        <f>IF(ISNA(VLOOKUP($CZ127,'Audit Values'!$A$2:$AE$439,2,FALSE)),'Preliminary SO66'!W124,VLOOKUP($CZ127,'Audit Values'!$A$2:$AE$439,23,FALSE))</f>
        <v>0</v>
      </c>
      <c r="CU127" s="1">
        <f t="shared" si="192"/>
        <v>0</v>
      </c>
      <c r="CV127" s="1">
        <f t="shared" si="193"/>
        <v>0</v>
      </c>
      <c r="CW127" s="176">
        <v>0</v>
      </c>
      <c r="CX127" s="2">
        <f>IF(CW127&gt;0,Weightings!$M$11*AR127,0)</f>
        <v>0</v>
      </c>
      <c r="CY127" s="2">
        <f t="shared" si="178"/>
        <v>0</v>
      </c>
      <c r="CZ127" s="108" t="s">
        <v>419</v>
      </c>
    </row>
    <row r="128" spans="1:104">
      <c r="A128" s="82">
        <v>331</v>
      </c>
      <c r="B128" s="4" t="s">
        <v>58</v>
      </c>
      <c r="C128" s="4" t="s">
        <v>755</v>
      </c>
      <c r="D128" s="1">
        <v>962.2</v>
      </c>
      <c r="E128" s="1">
        <v>0</v>
      </c>
      <c r="F128" s="1">
        <f t="shared" si="187"/>
        <v>962.2</v>
      </c>
      <c r="G128" s="1">
        <v>958.8</v>
      </c>
      <c r="H128" s="1">
        <v>0</v>
      </c>
      <c r="I128" s="1">
        <f t="shared" si="142"/>
        <v>958.8</v>
      </c>
      <c r="J128" s="1">
        <f t="shared" si="143"/>
        <v>926.1</v>
      </c>
      <c r="K128" s="1">
        <f>IF(ISNA(VLOOKUP($CZ128,'Audit Values'!$A$2:$AE$439,2,FALSE)),'Preliminary SO66'!B125,VLOOKUP($CZ128,'Audit Values'!$A$2:$AE$439,31,FALSE))</f>
        <v>923.1</v>
      </c>
      <c r="L128" s="1">
        <f t="shared" si="144"/>
        <v>958.8</v>
      </c>
      <c r="M128" s="1">
        <f>IF(ISNA(VLOOKUP($CZ128,'Audit Values'!$A$2:$AE$439,2,FALSE)),'Preliminary SO66'!Z125,VLOOKUP($CZ128,'Audit Values'!$A$2:$AE$439,26,FALSE))</f>
        <v>0</v>
      </c>
      <c r="N128" s="1">
        <f t="shared" si="145"/>
        <v>958.8</v>
      </c>
      <c r="O128" s="1">
        <f>IF(ISNA(VLOOKUP($CZ128,'Audit Values'!$A$2:$AE$439,2,FALSE)),'Preliminary SO66'!C125,IF(VLOOKUP($CZ128,'Audit Values'!$A$2:$AE$439,28,FALSE)="",VLOOKUP($CZ128,'Audit Values'!$A$2:$AE$439,3,FALSE),VLOOKUP($CZ128,'Audit Values'!$A$2:$AE$439,28,FALSE)))</f>
        <v>0</v>
      </c>
      <c r="P128" s="109">
        <f t="shared" si="146"/>
        <v>923.1</v>
      </c>
      <c r="Q128" s="110">
        <f t="shared" si="147"/>
        <v>926.1</v>
      </c>
      <c r="R128" s="111">
        <f t="shared" si="148"/>
        <v>926.1</v>
      </c>
      <c r="S128" s="1">
        <f t="shared" si="149"/>
        <v>958.8</v>
      </c>
      <c r="T128" s="1">
        <f t="shared" si="185"/>
        <v>3</v>
      </c>
      <c r="U128" s="1">
        <f t="shared" si="150"/>
        <v>249.6</v>
      </c>
      <c r="V128" s="1">
        <f t="shared" si="179"/>
        <v>249.6</v>
      </c>
      <c r="W128" s="1">
        <f t="shared" si="180"/>
        <v>0</v>
      </c>
      <c r="X128" s="1">
        <f>IF(ISNA(VLOOKUP($CZ128,'Audit Values'!$A$2:$AE$439,2,FALSE)),'Preliminary SO66'!D125,VLOOKUP($CZ128,'Audit Values'!$A$2:$AE$439,4,FALSE))</f>
        <v>360.7</v>
      </c>
      <c r="Y128" s="1">
        <f>ROUND((X128/6)*Weightings!$M$6,1)</f>
        <v>30.1</v>
      </c>
      <c r="Z128" s="1">
        <f>IF(ISNA(VLOOKUP($CZ128,'Audit Values'!$A$2:$AE$439,2,FALSE)),'Preliminary SO66'!F125,VLOOKUP($CZ128,'Audit Values'!$A$2:$AE$439,6,FALSE))</f>
        <v>0</v>
      </c>
      <c r="AA128" s="1">
        <f>ROUND((Z128/6)*Weightings!$M$7,1)</f>
        <v>0</v>
      </c>
      <c r="AB128" s="2">
        <f>IF(ISNA(VLOOKUP($CZ128,'Audit Values'!$A$2:$AE$439,2,FALSE)),'Preliminary SO66'!H125,VLOOKUP($CZ128,'Audit Values'!$A$2:$AE$439,8,FALSE))</f>
        <v>366</v>
      </c>
      <c r="AC128" s="1">
        <f>ROUND(AB128*Weightings!$M$8,1)</f>
        <v>166.9</v>
      </c>
      <c r="AD128" s="1">
        <f t="shared" ref="AD128:AD190" si="197">MAX(CK128,CL128,CM128)</f>
        <v>8.1999999999999993</v>
      </c>
      <c r="AE128" s="185">
        <v>114</v>
      </c>
      <c r="AF128" s="1">
        <f>AE128*Weightings!$M$9</f>
        <v>5.3</v>
      </c>
      <c r="AG128" s="1">
        <f>IF(ISNA(VLOOKUP($CZ128,'Audit Values'!$A$2:$AE$439,2,FALSE)),'Preliminary SO66'!L125,VLOOKUP($CZ128,'Audit Values'!$A$2:$AE$439,12,FALSE))</f>
        <v>0</v>
      </c>
      <c r="AH128" s="1">
        <f>ROUND(AG128*Weightings!$M$10,1)</f>
        <v>0</v>
      </c>
      <c r="AI128" s="1">
        <f>IF(ISNA(VLOOKUP($CZ128,'Audit Values'!$A$2:$AE$439,2,FALSE)),'Preliminary SO66'!O125,VLOOKUP($CZ128,'Audit Values'!$A$2:$AE$439,15,FALSE))</f>
        <v>252.4</v>
      </c>
      <c r="AJ128" s="1">
        <f t="shared" si="151"/>
        <v>79.099999999999994</v>
      </c>
      <c r="AK128" s="1">
        <f>CC128/Weightings!$M$5</f>
        <v>0</v>
      </c>
      <c r="AL128" s="1">
        <f>CD128/Weightings!$M$5</f>
        <v>0</v>
      </c>
      <c r="AM128" s="1">
        <f>CH128/Weightings!$M$5</f>
        <v>0</v>
      </c>
      <c r="AN128" s="1">
        <f t="shared" si="181"/>
        <v>3.2</v>
      </c>
      <c r="AO128" s="1">
        <f>IF(ISNA(VLOOKUP($CZ128,'Audit Values'!$A$2:$AE$439,2,FALSE)),'Preliminary SO66'!X125,VLOOKUP($CZ128,'Audit Values'!$A$2:$AE$439,24,FALSE))</f>
        <v>0</v>
      </c>
      <c r="AP128" s="188">
        <v>1177768</v>
      </c>
      <c r="AQ128" s="113">
        <f>AP128/Weightings!$M$5</f>
        <v>306.89999999999998</v>
      </c>
      <c r="AR128" s="113">
        <f t="shared" si="152"/>
        <v>1501.2</v>
      </c>
      <c r="AS128" s="1">
        <f t="shared" si="153"/>
        <v>1808.1</v>
      </c>
      <c r="AT128" s="1">
        <f t="shared" si="154"/>
        <v>1808.1</v>
      </c>
      <c r="AU128" s="2">
        <f t="shared" si="170"/>
        <v>0</v>
      </c>
      <c r="AV128" s="82">
        <f>IF(ISNA(VLOOKUP($CZ128,'Audit Values'!$A$2:$AC$360,2,FALSE)),"",IF(AND(Weightings!H128&gt;0,VLOOKUP($CZ128,'Audit Values'!$A$2:$AC$360,29,FALSE)&lt;Weightings!H128),Weightings!H128,VLOOKUP($CZ128,'Audit Values'!$A$2:$AC$360,29,FALSE)))</f>
        <v>8</v>
      </c>
      <c r="AW128" s="82" t="str">
        <f>IF(ISNA(VLOOKUP($CZ128,'Audit Values'!$A$2:$AD$360,2,FALSE)),"",VLOOKUP($CZ128,'Audit Values'!$A$2:$AD$360,30,FALSE))</f>
        <v>A</v>
      </c>
      <c r="AX128" s="82" t="str">
        <f>IF(Weightings!G128="","",IF(Weightings!I128="Pending","PX","R"))</f>
        <v/>
      </c>
      <c r="AY128" s="114">
        <f>AR128*Weightings!$M$5+AU128</f>
        <v>5761606</v>
      </c>
      <c r="AZ128" s="2">
        <f>AT128*Weightings!$M$5+AU128</f>
        <v>6939488</v>
      </c>
      <c r="BA128" s="2">
        <f>IF(Weightings!G128&gt;0,Weightings!G128,'Preliminary SO66'!AB125)</f>
        <v>7091089</v>
      </c>
      <c r="BB128" s="2">
        <f t="shared" si="155"/>
        <v>6939488</v>
      </c>
      <c r="BC128" s="124"/>
      <c r="BD128" s="124">
        <f>Weightings!E128</f>
        <v>0</v>
      </c>
      <c r="BE128" s="124">
        <f>Weightings!F128</f>
        <v>0</v>
      </c>
      <c r="BF128" s="2">
        <f t="shared" si="156"/>
        <v>0</v>
      </c>
      <c r="BG128" s="2">
        <f t="shared" si="157"/>
        <v>6939488</v>
      </c>
      <c r="BH128" s="2">
        <f>MAX(ROUND(((AR128-AO128)*4433)+AP128,0),ROUND(((AR128-AO128)*4433)+Weightings!B128,0))</f>
        <v>7847402</v>
      </c>
      <c r="BI128" s="174">
        <v>0.3</v>
      </c>
      <c r="BJ128" s="2">
        <f t="shared" si="191"/>
        <v>2354221</v>
      </c>
      <c r="BK128" s="173">
        <v>2393807</v>
      </c>
      <c r="BL128" s="2">
        <f t="shared" si="194"/>
        <v>2354221</v>
      </c>
      <c r="BM128" s="3">
        <f t="shared" si="171"/>
        <v>0.3</v>
      </c>
      <c r="BN128" s="1">
        <f t="shared" si="159"/>
        <v>0</v>
      </c>
      <c r="BO128" s="4" t="b">
        <f t="shared" si="160"/>
        <v>0</v>
      </c>
      <c r="BP128" s="5">
        <f t="shared" si="161"/>
        <v>0</v>
      </c>
      <c r="BQ128" s="6">
        <f t="shared" si="195"/>
        <v>0</v>
      </c>
      <c r="BR128" s="4">
        <f t="shared" si="162"/>
        <v>0</v>
      </c>
      <c r="BS128" s="4" t="b">
        <f t="shared" si="163"/>
        <v>1</v>
      </c>
      <c r="BT128" s="4">
        <f t="shared" si="164"/>
        <v>815.26499999999999</v>
      </c>
      <c r="BU128" s="6">
        <f t="shared" si="196"/>
        <v>0.26035999999999998</v>
      </c>
      <c r="BV128" s="1">
        <f t="shared" si="165"/>
        <v>249.6</v>
      </c>
      <c r="BW128" s="1">
        <f t="shared" si="166"/>
        <v>0</v>
      </c>
      <c r="BX128" s="116">
        <v>565.5</v>
      </c>
      <c r="BY128" s="7">
        <f t="shared" si="172"/>
        <v>0.45</v>
      </c>
      <c r="BZ128" s="7">
        <f>IF(ROUND((Weightings!$P$5*BY128^Weightings!$P$6*Weightings!$P$8 ),2)&lt;Weightings!$P$7,Weightings!$P$7,ROUND((Weightings!$P$5*BY128^Weightings!$P$6*Weightings!$P$8 ),2))</f>
        <v>1202.48</v>
      </c>
      <c r="CA128" s="8">
        <f>ROUND(BZ128/Weightings!$M$5,4)</f>
        <v>0.31330000000000002</v>
      </c>
      <c r="CB128" s="1">
        <f t="shared" si="173"/>
        <v>79.099999999999994</v>
      </c>
      <c r="CC128" s="173">
        <v>0</v>
      </c>
      <c r="CD128" s="173">
        <v>0</v>
      </c>
      <c r="CE128" s="173">
        <v>0</v>
      </c>
      <c r="CF128" s="177">
        <v>0</v>
      </c>
      <c r="CG128" s="2">
        <f>AS128*Weightings!$M$5*CF128</f>
        <v>0</v>
      </c>
      <c r="CH128" s="2">
        <f t="shared" ref="CH128:CH190" si="198">IF(CE128&gt;CG128,CG128,CE128)</f>
        <v>0</v>
      </c>
      <c r="CI128" s="117">
        <f t="shared" si="167"/>
        <v>0.38200000000000001</v>
      </c>
      <c r="CJ128" s="4">
        <f t="shared" si="168"/>
        <v>1.7</v>
      </c>
      <c r="CK128" s="1">
        <f t="shared" si="175"/>
        <v>0</v>
      </c>
      <c r="CL128" s="1">
        <f t="shared" si="176"/>
        <v>0</v>
      </c>
      <c r="CM128" s="1">
        <f t="shared" si="177"/>
        <v>8.1999999999999993</v>
      </c>
      <c r="CN128" s="1">
        <f>IF(ISNA(VLOOKUP($CZ128,'Audit Values'!$A$2:$AE$439,2,FALSE)),'Preliminary SO66'!T125,VLOOKUP($CZ128,'Audit Values'!$A$2:$AE$439,20,FALSE))</f>
        <v>3</v>
      </c>
      <c r="CO128" s="1">
        <f t="shared" si="182"/>
        <v>3.2</v>
      </c>
      <c r="CP128" s="181">
        <v>0</v>
      </c>
      <c r="CQ128" s="1">
        <f t="shared" si="183"/>
        <v>0</v>
      </c>
      <c r="CR128" s="2">
        <f>IF(ISNA(VLOOKUP($CZ128,'Audit Values'!$A$2:$AE$439,2,FALSE)),'Preliminary SO66'!V125,VLOOKUP($CZ128,'Audit Values'!$A$2:$AE$439,22,FALSE))</f>
        <v>0</v>
      </c>
      <c r="CS128" s="1">
        <f t="shared" si="184"/>
        <v>0</v>
      </c>
      <c r="CT128" s="2">
        <f>IF(ISNA(VLOOKUP($CZ128,'Audit Values'!$A$2:$AE$439,2,FALSE)),'Preliminary SO66'!W125,VLOOKUP($CZ128,'Audit Values'!$A$2:$AE$439,23,FALSE))</f>
        <v>0</v>
      </c>
      <c r="CU128" s="1">
        <f t="shared" si="192"/>
        <v>0</v>
      </c>
      <c r="CV128" s="1">
        <f t="shared" si="193"/>
        <v>3.2</v>
      </c>
      <c r="CW128" s="176">
        <v>0</v>
      </c>
      <c r="CX128" s="2">
        <f>IF(CW128&gt;0,Weightings!$M$11*AR128,0)</f>
        <v>0</v>
      </c>
      <c r="CY128" s="2">
        <f t="shared" si="178"/>
        <v>0</v>
      </c>
      <c r="CZ128" s="108" t="s">
        <v>420</v>
      </c>
    </row>
    <row r="129" spans="1:104">
      <c r="A129" s="82">
        <v>332</v>
      </c>
      <c r="B129" s="4" t="s">
        <v>58</v>
      </c>
      <c r="C129" s="4" t="s">
        <v>756</v>
      </c>
      <c r="D129" s="1">
        <v>166.5</v>
      </c>
      <c r="E129" s="1">
        <v>0</v>
      </c>
      <c r="F129" s="1">
        <f t="shared" si="187"/>
        <v>166.5</v>
      </c>
      <c r="G129" s="1">
        <v>170.5</v>
      </c>
      <c r="H129" s="1">
        <v>0</v>
      </c>
      <c r="I129" s="1">
        <f t="shared" si="142"/>
        <v>170.5</v>
      </c>
      <c r="J129" s="1">
        <f t="shared" si="143"/>
        <v>155.1</v>
      </c>
      <c r="K129" s="1">
        <f>IF(ISNA(VLOOKUP($CZ129,'Audit Values'!$A$2:$AE$439,2,FALSE)),'Preliminary SO66'!B126,VLOOKUP($CZ129,'Audit Values'!$A$2:$AE$439,31,FALSE))</f>
        <v>155.1</v>
      </c>
      <c r="L129" s="1">
        <f t="shared" si="144"/>
        <v>170.5</v>
      </c>
      <c r="M129" s="1">
        <f>IF(ISNA(VLOOKUP($CZ129,'Audit Values'!$A$2:$AE$439,2,FALSE)),'Preliminary SO66'!Z126,VLOOKUP($CZ129,'Audit Values'!$A$2:$AE$439,26,FALSE))</f>
        <v>0</v>
      </c>
      <c r="N129" s="1">
        <f t="shared" si="145"/>
        <v>170.5</v>
      </c>
      <c r="O129" s="1">
        <f>IF(ISNA(VLOOKUP($CZ129,'Audit Values'!$A$2:$AE$439,2,FALSE)),'Preliminary SO66'!C126,IF(VLOOKUP($CZ129,'Audit Values'!$A$2:$AE$439,28,FALSE)="",VLOOKUP($CZ129,'Audit Values'!$A$2:$AE$439,3,FALSE),VLOOKUP($CZ129,'Audit Values'!$A$2:$AE$439,28,FALSE)))</f>
        <v>0</v>
      </c>
      <c r="P129" s="109">
        <f t="shared" si="146"/>
        <v>155.1</v>
      </c>
      <c r="Q129" s="110">
        <f t="shared" si="147"/>
        <v>155.1</v>
      </c>
      <c r="R129" s="111">
        <f t="shared" si="148"/>
        <v>155.1</v>
      </c>
      <c r="S129" s="1">
        <f t="shared" si="149"/>
        <v>170.5</v>
      </c>
      <c r="T129" s="1">
        <f t="shared" si="185"/>
        <v>0</v>
      </c>
      <c r="U129" s="1">
        <f t="shared" si="150"/>
        <v>141.1</v>
      </c>
      <c r="V129" s="1">
        <f t="shared" si="179"/>
        <v>141.1</v>
      </c>
      <c r="W129" s="1">
        <f t="shared" si="180"/>
        <v>0</v>
      </c>
      <c r="X129" s="1">
        <f>IF(ISNA(VLOOKUP($CZ129,'Audit Values'!$A$2:$AE$439,2,FALSE)),'Preliminary SO66'!D126,VLOOKUP($CZ129,'Audit Values'!$A$2:$AE$439,4,FALSE))</f>
        <v>0</v>
      </c>
      <c r="Y129" s="1">
        <f>ROUND((X129/6)*Weightings!$M$6,1)</f>
        <v>0</v>
      </c>
      <c r="Z129" s="1">
        <f>IF(ISNA(VLOOKUP($CZ129,'Audit Values'!$A$2:$AE$439,2,FALSE)),'Preliminary SO66'!F126,VLOOKUP($CZ129,'Audit Values'!$A$2:$AE$439,6,FALSE))</f>
        <v>0</v>
      </c>
      <c r="AA129" s="1">
        <f>ROUND((Z129/6)*Weightings!$M$7,1)</f>
        <v>0</v>
      </c>
      <c r="AB129" s="2">
        <f>IF(ISNA(VLOOKUP($CZ129,'Audit Values'!$A$2:$AE$439,2,FALSE)),'Preliminary SO66'!H126,VLOOKUP($CZ129,'Audit Values'!$A$2:$AE$439,8,FALSE))</f>
        <v>52</v>
      </c>
      <c r="AC129" s="1">
        <f>ROUND(AB129*Weightings!$M$8,1)</f>
        <v>23.7</v>
      </c>
      <c r="AD129" s="1">
        <f t="shared" si="197"/>
        <v>0</v>
      </c>
      <c r="AE129" s="185">
        <v>11</v>
      </c>
      <c r="AF129" s="1">
        <f>AE129*Weightings!$M$9</f>
        <v>0.5</v>
      </c>
      <c r="AG129" s="1">
        <f>IF(ISNA(VLOOKUP($CZ129,'Audit Values'!$A$2:$AE$439,2,FALSE)),'Preliminary SO66'!L126,VLOOKUP($CZ129,'Audit Values'!$A$2:$AE$439,12,FALSE))</f>
        <v>0</v>
      </c>
      <c r="AH129" s="1">
        <f>ROUND(AG129*Weightings!$M$10,1)</f>
        <v>0</v>
      </c>
      <c r="AI129" s="1">
        <f>IF(ISNA(VLOOKUP($CZ129,'Audit Values'!$A$2:$AE$439,2,FALSE)),'Preliminary SO66'!O126,VLOOKUP($CZ129,'Audit Values'!$A$2:$AE$439,15,FALSE))</f>
        <v>67</v>
      </c>
      <c r="AJ129" s="1">
        <f t="shared" si="151"/>
        <v>25</v>
      </c>
      <c r="AK129" s="1">
        <f>CC129/Weightings!$M$5</f>
        <v>0</v>
      </c>
      <c r="AL129" s="1">
        <f>CD129/Weightings!$M$5</f>
        <v>0</v>
      </c>
      <c r="AM129" s="1">
        <f>CH129/Weightings!$M$5</f>
        <v>0</v>
      </c>
      <c r="AN129" s="1">
        <f t="shared" si="181"/>
        <v>0</v>
      </c>
      <c r="AO129" s="1">
        <f>IF(ISNA(VLOOKUP($CZ129,'Audit Values'!$A$2:$AE$439,2,FALSE)),'Preliminary SO66'!X126,VLOOKUP($CZ129,'Audit Values'!$A$2:$AE$439,24,FALSE))</f>
        <v>0</v>
      </c>
      <c r="AP129" s="188">
        <v>254687</v>
      </c>
      <c r="AQ129" s="113">
        <f>AP129/Weightings!$M$5</f>
        <v>66.400000000000006</v>
      </c>
      <c r="AR129" s="113">
        <f t="shared" si="152"/>
        <v>360.8</v>
      </c>
      <c r="AS129" s="1">
        <f t="shared" si="153"/>
        <v>427.2</v>
      </c>
      <c r="AT129" s="1">
        <f t="shared" si="154"/>
        <v>427.2</v>
      </c>
      <c r="AU129" s="2">
        <f t="shared" si="170"/>
        <v>0</v>
      </c>
      <c r="AV129" s="82">
        <f>IF(ISNA(VLOOKUP($CZ129,'Audit Values'!$A$2:$AC$360,2,FALSE)),"",IF(AND(Weightings!H129&gt;0,VLOOKUP($CZ129,'Audit Values'!$A$2:$AC$360,29,FALSE)&lt;Weightings!H129),Weightings!H129,VLOOKUP($CZ129,'Audit Values'!$A$2:$AC$360,29,FALSE)))</f>
        <v>18</v>
      </c>
      <c r="AW129" s="82" t="str">
        <f>IF(ISNA(VLOOKUP($CZ129,'Audit Values'!$A$2:$AD$360,2,FALSE)),"",VLOOKUP($CZ129,'Audit Values'!$A$2:$AD$360,30,FALSE))</f>
        <v>A</v>
      </c>
      <c r="AX129" s="82" t="str">
        <f>IF(Weightings!G129="","",IF(Weightings!I129="Pending","PX","R"))</f>
        <v/>
      </c>
      <c r="AY129" s="114">
        <f>AR129*Weightings!$M$5+AU129</f>
        <v>1384750</v>
      </c>
      <c r="AZ129" s="2">
        <f>AT129*Weightings!$M$5+AU129</f>
        <v>1639594</v>
      </c>
      <c r="BA129" s="2">
        <f>IF(Weightings!G129&gt;0,Weightings!G129,'Preliminary SO66'!AB126)</f>
        <v>1699466</v>
      </c>
      <c r="BB129" s="2">
        <f t="shared" si="155"/>
        <v>1639594</v>
      </c>
      <c r="BC129" s="124"/>
      <c r="BD129" s="124">
        <f>Weightings!E129</f>
        <v>0</v>
      </c>
      <c r="BE129" s="124">
        <f>Weightings!F129</f>
        <v>0</v>
      </c>
      <c r="BF129" s="2">
        <f t="shared" si="156"/>
        <v>0</v>
      </c>
      <c r="BG129" s="2">
        <f t="shared" si="157"/>
        <v>1639594</v>
      </c>
      <c r="BH129" s="2">
        <f>MAX(ROUND(((AR129-AO129)*4433)+AP129,0),ROUND(((AR129-AO129)*4433)+Weightings!B129,0))</f>
        <v>1854113</v>
      </c>
      <c r="BI129" s="174">
        <v>0.3</v>
      </c>
      <c r="BJ129" s="2">
        <f t="shared" si="191"/>
        <v>556234</v>
      </c>
      <c r="BK129" s="173">
        <v>574982</v>
      </c>
      <c r="BL129" s="2">
        <f t="shared" si="194"/>
        <v>556234</v>
      </c>
      <c r="BM129" s="3">
        <f t="shared" si="171"/>
        <v>0.3</v>
      </c>
      <c r="BN129" s="1">
        <f t="shared" si="159"/>
        <v>0</v>
      </c>
      <c r="BO129" s="4" t="b">
        <f t="shared" si="160"/>
        <v>1</v>
      </c>
      <c r="BP129" s="5">
        <f t="shared" si="161"/>
        <v>680.678</v>
      </c>
      <c r="BQ129" s="6">
        <f t="shared" si="195"/>
        <v>0.82745500000000005</v>
      </c>
      <c r="BR129" s="4">
        <f t="shared" si="162"/>
        <v>141.1</v>
      </c>
      <c r="BS129" s="4" t="b">
        <f t="shared" si="163"/>
        <v>0</v>
      </c>
      <c r="BT129" s="4">
        <f t="shared" si="164"/>
        <v>0</v>
      </c>
      <c r="BU129" s="6">
        <f t="shared" si="196"/>
        <v>0</v>
      </c>
      <c r="BV129" s="1">
        <f t="shared" si="165"/>
        <v>0</v>
      </c>
      <c r="BW129" s="1">
        <f t="shared" si="166"/>
        <v>0</v>
      </c>
      <c r="BX129" s="116">
        <v>323.5</v>
      </c>
      <c r="BY129" s="7">
        <f t="shared" si="172"/>
        <v>0.21</v>
      </c>
      <c r="BZ129" s="7">
        <f>IF(ROUND((Weightings!$P$5*BY129^Weightings!$P$6*Weightings!$P$8 ),2)&lt;Weightings!$P$7,Weightings!$P$7,ROUND((Weightings!$P$5*BY129^Weightings!$P$6*Weightings!$P$8 ),2))</f>
        <v>1430.79</v>
      </c>
      <c r="CA129" s="8">
        <f>ROUND(BZ129/Weightings!$M$5,4)</f>
        <v>0.37280000000000002</v>
      </c>
      <c r="CB129" s="1">
        <f t="shared" si="173"/>
        <v>25</v>
      </c>
      <c r="CC129" s="173">
        <v>0</v>
      </c>
      <c r="CD129" s="173">
        <v>0</v>
      </c>
      <c r="CE129" s="173">
        <v>0</v>
      </c>
      <c r="CF129" s="177">
        <v>0</v>
      </c>
      <c r="CG129" s="2">
        <f>AS129*Weightings!$M$5*CF129</f>
        <v>0</v>
      </c>
      <c r="CH129" s="2">
        <f t="shared" si="198"/>
        <v>0</v>
      </c>
      <c r="CI129" s="117">
        <f t="shared" si="167"/>
        <v>0.30499999999999999</v>
      </c>
      <c r="CJ129" s="4">
        <f t="shared" si="168"/>
        <v>0.5</v>
      </c>
      <c r="CK129" s="1">
        <f t="shared" si="175"/>
        <v>0</v>
      </c>
      <c r="CL129" s="1">
        <f t="shared" si="176"/>
        <v>0</v>
      </c>
      <c r="CM129" s="1">
        <f t="shared" si="177"/>
        <v>0</v>
      </c>
      <c r="CN129" s="1">
        <f>IF(ISNA(VLOOKUP($CZ129,'Audit Values'!$A$2:$AE$439,2,FALSE)),'Preliminary SO66'!T126,VLOOKUP($CZ129,'Audit Values'!$A$2:$AE$439,20,FALSE))</f>
        <v>0</v>
      </c>
      <c r="CO129" s="1">
        <f t="shared" si="182"/>
        <v>0</v>
      </c>
      <c r="CP129" s="183">
        <v>0</v>
      </c>
      <c r="CQ129" s="1">
        <f t="shared" si="183"/>
        <v>0</v>
      </c>
      <c r="CR129" s="2">
        <f>IF(ISNA(VLOOKUP($CZ129,'Audit Values'!$A$2:$AE$439,2,FALSE)),'Preliminary SO66'!V126,VLOOKUP($CZ129,'Audit Values'!$A$2:$AE$439,22,FALSE))</f>
        <v>0</v>
      </c>
      <c r="CS129" s="1">
        <f t="shared" si="184"/>
        <v>0</v>
      </c>
      <c r="CT129" s="2">
        <f>IF(ISNA(VLOOKUP($CZ129,'Audit Values'!$A$2:$AE$439,2,FALSE)),'Preliminary SO66'!W126,VLOOKUP($CZ129,'Audit Values'!$A$2:$AE$439,23,FALSE))</f>
        <v>0</v>
      </c>
      <c r="CU129" s="1">
        <f t="shared" si="192"/>
        <v>0</v>
      </c>
      <c r="CV129" s="1">
        <f t="shared" si="193"/>
        <v>0</v>
      </c>
      <c r="CW129" s="176">
        <v>0</v>
      </c>
      <c r="CX129" s="2">
        <f>IF(CW129&gt;0,Weightings!$M$11*AR129,0)</f>
        <v>0</v>
      </c>
      <c r="CY129" s="2">
        <f t="shared" si="178"/>
        <v>0</v>
      </c>
      <c r="CZ129" s="108" t="s">
        <v>421</v>
      </c>
    </row>
    <row r="130" spans="1:104">
      <c r="A130" s="82">
        <v>333</v>
      </c>
      <c r="B130" s="4" t="s">
        <v>59</v>
      </c>
      <c r="C130" s="4" t="s">
        <v>757</v>
      </c>
      <c r="D130" s="1">
        <v>1040.5999999999999</v>
      </c>
      <c r="E130" s="1">
        <v>0</v>
      </c>
      <c r="F130" s="1">
        <f t="shared" si="187"/>
        <v>1040.5999999999999</v>
      </c>
      <c r="G130" s="1">
        <v>1019.9</v>
      </c>
      <c r="H130" s="1">
        <v>0</v>
      </c>
      <c r="I130" s="1">
        <f t="shared" si="142"/>
        <v>1019.9</v>
      </c>
      <c r="J130" s="1">
        <f t="shared" si="143"/>
        <v>996.5</v>
      </c>
      <c r="K130" s="1">
        <f>IF(ISNA(VLOOKUP($CZ130,'Audit Values'!$A$2:$AE$439,2,FALSE)),'Preliminary SO66'!B127,VLOOKUP($CZ130,'Audit Values'!$A$2:$AE$439,31,FALSE))</f>
        <v>996.5</v>
      </c>
      <c r="L130" s="1">
        <f t="shared" si="144"/>
        <v>1019.9</v>
      </c>
      <c r="M130" s="1">
        <f>IF(ISNA(VLOOKUP($CZ130,'Audit Values'!$A$2:$AE$439,2,FALSE)),'Preliminary SO66'!Z127,VLOOKUP($CZ130,'Audit Values'!$A$2:$AE$439,26,FALSE))</f>
        <v>0</v>
      </c>
      <c r="N130" s="1">
        <f t="shared" si="145"/>
        <v>1019.9</v>
      </c>
      <c r="O130" s="1">
        <f>IF(ISNA(VLOOKUP($CZ130,'Audit Values'!$A$2:$AE$439,2,FALSE)),'Preliminary SO66'!C127,IF(VLOOKUP($CZ130,'Audit Values'!$A$2:$AE$439,28,FALSE)="",VLOOKUP($CZ130,'Audit Values'!$A$2:$AE$439,3,FALSE),VLOOKUP($CZ130,'Audit Values'!$A$2:$AE$439,28,FALSE)))</f>
        <v>13.5</v>
      </c>
      <c r="P130" s="109">
        <f t="shared" si="146"/>
        <v>1010</v>
      </c>
      <c r="Q130" s="110">
        <f t="shared" si="147"/>
        <v>1010</v>
      </c>
      <c r="R130" s="111">
        <f t="shared" si="148"/>
        <v>1010</v>
      </c>
      <c r="S130" s="1">
        <f t="shared" si="149"/>
        <v>1033.4000000000001</v>
      </c>
      <c r="T130" s="1">
        <f t="shared" si="185"/>
        <v>0</v>
      </c>
      <c r="U130" s="1">
        <f t="shared" si="150"/>
        <v>242.9</v>
      </c>
      <c r="V130" s="1">
        <f t="shared" ref="V130:V192" si="199">MAX(BN130,BR130,BV130)</f>
        <v>242.9</v>
      </c>
      <c r="W130" s="1">
        <f t="shared" ref="W130:W192" si="200">BW130</f>
        <v>0</v>
      </c>
      <c r="X130" s="1">
        <f>IF(ISNA(VLOOKUP($CZ130,'Audit Values'!$A$2:$AE$439,2,FALSE)),'Preliminary SO66'!D127,VLOOKUP($CZ130,'Audit Values'!$A$2:$AE$439,4,FALSE))</f>
        <v>228.8</v>
      </c>
      <c r="Y130" s="1">
        <f>ROUND((X130/6)*Weightings!$M$6,1)</f>
        <v>19.100000000000001</v>
      </c>
      <c r="Z130" s="1">
        <f>IF(ISNA(VLOOKUP($CZ130,'Audit Values'!$A$2:$AE$439,2,FALSE)),'Preliminary SO66'!F127,VLOOKUP($CZ130,'Audit Values'!$A$2:$AE$439,6,FALSE))</f>
        <v>4.8</v>
      </c>
      <c r="AA130" s="1">
        <f>ROUND((Z130/6)*Weightings!$M$7,1)</f>
        <v>0.3</v>
      </c>
      <c r="AB130" s="2">
        <f>IF(ISNA(VLOOKUP($CZ130,'Audit Values'!$A$2:$AE$439,2,FALSE)),'Preliminary SO66'!H127,VLOOKUP($CZ130,'Audit Values'!$A$2:$AE$439,8,FALSE))</f>
        <v>431</v>
      </c>
      <c r="AC130" s="1">
        <f>ROUND(AB130*Weightings!$M$8,1)</f>
        <v>196.5</v>
      </c>
      <c r="AD130" s="1">
        <f t="shared" si="197"/>
        <v>20.2</v>
      </c>
      <c r="AE130" s="185">
        <v>70</v>
      </c>
      <c r="AF130" s="1">
        <f>AE130*Weightings!$M$9</f>
        <v>3.3</v>
      </c>
      <c r="AG130" s="1">
        <f>IF(ISNA(VLOOKUP($CZ130,'Audit Values'!$A$2:$AE$439,2,FALSE)),'Preliminary SO66'!L127,VLOOKUP($CZ130,'Audit Values'!$A$2:$AE$439,12,FALSE))</f>
        <v>0</v>
      </c>
      <c r="AH130" s="1">
        <f>ROUND(AG130*Weightings!$M$10,1)</f>
        <v>0</v>
      </c>
      <c r="AI130" s="1">
        <f>IF(ISNA(VLOOKUP($CZ130,'Audit Values'!$A$2:$AE$439,2,FALSE)),'Preliminary SO66'!O127,VLOOKUP($CZ130,'Audit Values'!$A$2:$AE$439,15,FALSE))</f>
        <v>207</v>
      </c>
      <c r="AJ130" s="1">
        <f t="shared" si="151"/>
        <v>60.3</v>
      </c>
      <c r="AK130" s="1">
        <f>CC130/Weightings!$M$5</f>
        <v>0</v>
      </c>
      <c r="AL130" s="1">
        <f>CD130/Weightings!$M$5</f>
        <v>0</v>
      </c>
      <c r="AM130" s="1">
        <f>CH130/Weightings!$M$5</f>
        <v>0</v>
      </c>
      <c r="AN130" s="1">
        <f t="shared" si="181"/>
        <v>0</v>
      </c>
      <c r="AO130" s="1">
        <f>IF(ISNA(VLOOKUP($CZ130,'Audit Values'!$A$2:$AE$439,2,FALSE)),'Preliminary SO66'!X127,VLOOKUP($CZ130,'Audit Values'!$A$2:$AE$439,24,FALSE))</f>
        <v>0</v>
      </c>
      <c r="AP130" s="188">
        <v>958526</v>
      </c>
      <c r="AQ130" s="113">
        <f>AP130/Weightings!$M$5</f>
        <v>249.7</v>
      </c>
      <c r="AR130" s="113">
        <f t="shared" si="152"/>
        <v>1576</v>
      </c>
      <c r="AS130" s="1">
        <f t="shared" si="153"/>
        <v>1825.7</v>
      </c>
      <c r="AT130" s="1">
        <f t="shared" si="154"/>
        <v>1825.7</v>
      </c>
      <c r="AU130" s="2">
        <f t="shared" si="170"/>
        <v>135478</v>
      </c>
      <c r="AV130" s="82">
        <f>IF(ISNA(VLOOKUP($CZ130,'Audit Values'!$A$2:$AC$360,2,FALSE)),"",IF(AND(Weightings!H130&gt;0,VLOOKUP($CZ130,'Audit Values'!$A$2:$AC$360,29,FALSE)&lt;Weightings!H130),Weightings!H130,VLOOKUP($CZ130,'Audit Values'!$A$2:$AC$360,29,FALSE)))</f>
        <v>24</v>
      </c>
      <c r="AW130" s="82" t="str">
        <f>IF(ISNA(VLOOKUP($CZ130,'Audit Values'!$A$2:$AD$360,2,FALSE)),"",VLOOKUP($CZ130,'Audit Values'!$A$2:$AD$360,30,FALSE))</f>
        <v>A</v>
      </c>
      <c r="AX130" s="82" t="str">
        <f>IF(Weightings!G130="","",IF(Weightings!I130="Pending","PX","R"))</f>
        <v/>
      </c>
      <c r="AY130" s="114">
        <f>AR130*Weightings!$M$5+AU130</f>
        <v>6184166</v>
      </c>
      <c r="AZ130" s="2">
        <f>AT130*Weightings!$M$5+AU130</f>
        <v>7142515</v>
      </c>
      <c r="BA130" s="2">
        <f>IF(Weightings!G130&gt;0,Weightings!G130,'Preliminary SO66'!AB127)</f>
        <v>7405603</v>
      </c>
      <c r="BB130" s="2">
        <f t="shared" si="155"/>
        <v>7142515</v>
      </c>
      <c r="BC130" s="124"/>
      <c r="BD130" s="124">
        <f>Weightings!E130</f>
        <v>-2222</v>
      </c>
      <c r="BE130" s="124">
        <f>Weightings!F130</f>
        <v>0</v>
      </c>
      <c r="BF130" s="2">
        <f t="shared" si="156"/>
        <v>-2222</v>
      </c>
      <c r="BG130" s="2">
        <f t="shared" si="157"/>
        <v>7140293</v>
      </c>
      <c r="BH130" s="2">
        <f>MAX(ROUND(((AR130-AO130)*4433)+AP130,0),ROUND(((AR130-AO130)*4433)+Weightings!B130,0))</f>
        <v>8161198</v>
      </c>
      <c r="BI130" s="174">
        <v>0.3</v>
      </c>
      <c r="BJ130" s="2">
        <f t="shared" si="191"/>
        <v>2448359</v>
      </c>
      <c r="BK130" s="173">
        <v>2487059</v>
      </c>
      <c r="BL130" s="2">
        <f t="shared" si="194"/>
        <v>2448359</v>
      </c>
      <c r="BM130" s="3">
        <f t="shared" si="171"/>
        <v>0.3</v>
      </c>
      <c r="BN130" s="1">
        <f t="shared" si="159"/>
        <v>0</v>
      </c>
      <c r="BO130" s="4" t="b">
        <f t="shared" si="160"/>
        <v>0</v>
      </c>
      <c r="BP130" s="5">
        <f t="shared" si="161"/>
        <v>0</v>
      </c>
      <c r="BQ130" s="6">
        <f t="shared" si="195"/>
        <v>0</v>
      </c>
      <c r="BR130" s="4">
        <f t="shared" si="162"/>
        <v>0</v>
      </c>
      <c r="BS130" s="4" t="b">
        <f t="shared" si="163"/>
        <v>1</v>
      </c>
      <c r="BT130" s="4">
        <f t="shared" si="164"/>
        <v>907.58249999999998</v>
      </c>
      <c r="BU130" s="6">
        <f t="shared" si="196"/>
        <v>0.235015</v>
      </c>
      <c r="BV130" s="1">
        <f t="shared" si="165"/>
        <v>242.9</v>
      </c>
      <c r="BW130" s="1">
        <f t="shared" si="166"/>
        <v>0</v>
      </c>
      <c r="BX130" s="116">
        <v>336</v>
      </c>
      <c r="BY130" s="7">
        <f t="shared" si="172"/>
        <v>0.62</v>
      </c>
      <c r="BZ130" s="7">
        <f>IF(ROUND((Weightings!$P$5*BY130^Weightings!$P$6*Weightings!$P$8 ),2)&lt;Weightings!$P$7,Weightings!$P$7,ROUND((Weightings!$P$5*BY130^Weightings!$P$6*Weightings!$P$8 ),2))</f>
        <v>1117.71</v>
      </c>
      <c r="CA130" s="8">
        <f>ROUND(BZ130/Weightings!$M$5,4)</f>
        <v>0.29120000000000001</v>
      </c>
      <c r="CB130" s="1">
        <f t="shared" si="173"/>
        <v>60.3</v>
      </c>
      <c r="CC130" s="173">
        <v>0</v>
      </c>
      <c r="CD130" s="173">
        <v>0</v>
      </c>
      <c r="CE130" s="173">
        <v>0</v>
      </c>
      <c r="CF130" s="177">
        <v>0</v>
      </c>
      <c r="CG130" s="2">
        <f>AS130*Weightings!$M$5*CF130</f>
        <v>0</v>
      </c>
      <c r="CH130" s="2">
        <f t="shared" si="198"/>
        <v>0</v>
      </c>
      <c r="CI130" s="117">
        <f t="shared" si="167"/>
        <v>0.41699999999999998</v>
      </c>
      <c r="CJ130" s="4">
        <f t="shared" si="168"/>
        <v>3.1</v>
      </c>
      <c r="CK130" s="1">
        <f t="shared" si="175"/>
        <v>0</v>
      </c>
      <c r="CL130" s="1">
        <f t="shared" si="176"/>
        <v>0</v>
      </c>
      <c r="CM130" s="1">
        <f t="shared" si="177"/>
        <v>20.2</v>
      </c>
      <c r="CN130" s="1">
        <f>IF(ISNA(VLOOKUP($CZ130,'Audit Values'!$A$2:$AE$439,2,FALSE)),'Preliminary SO66'!T127,VLOOKUP($CZ130,'Audit Values'!$A$2:$AE$439,20,FALSE))</f>
        <v>0</v>
      </c>
      <c r="CO130" s="1">
        <f t="shared" si="182"/>
        <v>0</v>
      </c>
      <c r="CP130" s="183">
        <v>0</v>
      </c>
      <c r="CQ130" s="1">
        <f t="shared" si="183"/>
        <v>0</v>
      </c>
      <c r="CR130" s="2">
        <f>IF(ISNA(VLOOKUP($CZ130,'Audit Values'!$A$2:$AE$439,2,FALSE)),'Preliminary SO66'!V127,VLOOKUP($CZ130,'Audit Values'!$A$2:$AE$439,22,FALSE))</f>
        <v>0</v>
      </c>
      <c r="CS130" s="1">
        <f t="shared" si="184"/>
        <v>0</v>
      </c>
      <c r="CT130" s="2">
        <f>IF(ISNA(VLOOKUP($CZ130,'Audit Values'!$A$2:$AE$439,2,FALSE)),'Preliminary SO66'!W127,VLOOKUP($CZ130,'Audit Values'!$A$2:$AE$439,23,FALSE))</f>
        <v>0</v>
      </c>
      <c r="CU130" s="1">
        <f t="shared" si="192"/>
        <v>0</v>
      </c>
      <c r="CV130" s="1">
        <f t="shared" si="193"/>
        <v>0</v>
      </c>
      <c r="CW130" s="176">
        <v>135478</v>
      </c>
      <c r="CX130" s="2">
        <f>IF(CW130&gt;0,Weightings!$M$11*AR130,0)</f>
        <v>394000</v>
      </c>
      <c r="CY130" s="2">
        <f t="shared" si="178"/>
        <v>135478</v>
      </c>
      <c r="CZ130" s="108" t="s">
        <v>422</v>
      </c>
    </row>
    <row r="131" spans="1:104">
      <c r="A131" s="82">
        <v>334</v>
      </c>
      <c r="B131" s="4" t="s">
        <v>59</v>
      </c>
      <c r="C131" s="4" t="s">
        <v>758</v>
      </c>
      <c r="D131" s="1">
        <v>246.5</v>
      </c>
      <c r="E131" s="1">
        <v>0</v>
      </c>
      <c r="F131" s="1">
        <f t="shared" si="187"/>
        <v>246.5</v>
      </c>
      <c r="G131" s="1">
        <v>211</v>
      </c>
      <c r="H131" s="1">
        <v>0</v>
      </c>
      <c r="I131" s="1">
        <f t="shared" si="142"/>
        <v>211</v>
      </c>
      <c r="J131" s="1">
        <f t="shared" si="143"/>
        <v>235.3</v>
      </c>
      <c r="K131" s="1">
        <f>IF(ISNA(VLOOKUP($CZ131,'Audit Values'!$A$2:$AE$439,2,FALSE)),'Preliminary SO66'!B128,VLOOKUP($CZ131,'Audit Values'!$A$2:$AE$439,31,FALSE))</f>
        <v>229.6</v>
      </c>
      <c r="L131" s="1">
        <f t="shared" si="144"/>
        <v>229.6</v>
      </c>
      <c r="M131" s="1">
        <f>IF(ISNA(VLOOKUP($CZ131,'Audit Values'!$A$2:$AE$439,2,FALSE)),'Preliminary SO66'!Z128,VLOOKUP($CZ131,'Audit Values'!$A$2:$AE$439,26,FALSE))</f>
        <v>0</v>
      </c>
      <c r="N131" s="1">
        <f t="shared" si="145"/>
        <v>229.6</v>
      </c>
      <c r="O131" s="1">
        <f>IF(ISNA(VLOOKUP($CZ131,'Audit Values'!$A$2:$AE$439,2,FALSE)),'Preliminary SO66'!C128,IF(VLOOKUP($CZ131,'Audit Values'!$A$2:$AE$439,28,FALSE)="",VLOOKUP($CZ131,'Audit Values'!$A$2:$AE$439,3,FALSE),VLOOKUP($CZ131,'Audit Values'!$A$2:$AE$439,28,FALSE)))</f>
        <v>0</v>
      </c>
      <c r="P131" s="109">
        <f t="shared" si="146"/>
        <v>229.6</v>
      </c>
      <c r="Q131" s="110">
        <f t="shared" si="147"/>
        <v>235.3</v>
      </c>
      <c r="R131" s="111">
        <f t="shared" si="148"/>
        <v>235.3</v>
      </c>
      <c r="S131" s="1">
        <f t="shared" si="149"/>
        <v>229.6</v>
      </c>
      <c r="T131" s="1">
        <f t="shared" si="185"/>
        <v>5.7</v>
      </c>
      <c r="U131" s="1">
        <f t="shared" si="150"/>
        <v>154</v>
      </c>
      <c r="V131" s="1">
        <f t="shared" si="199"/>
        <v>154</v>
      </c>
      <c r="W131" s="1">
        <f t="shared" si="200"/>
        <v>0</v>
      </c>
      <c r="X131" s="1">
        <f>IF(ISNA(VLOOKUP($CZ131,'Audit Values'!$A$2:$AE$439,2,FALSE)),'Preliminary SO66'!D128,VLOOKUP($CZ131,'Audit Values'!$A$2:$AE$439,4,FALSE))</f>
        <v>35.9</v>
      </c>
      <c r="Y131" s="1">
        <f>ROUND((X131/6)*Weightings!$M$6,1)</f>
        <v>3</v>
      </c>
      <c r="Z131" s="1">
        <f>IF(ISNA(VLOOKUP($CZ131,'Audit Values'!$A$2:$AE$439,2,FALSE)),'Preliminary SO66'!F128,VLOOKUP($CZ131,'Audit Values'!$A$2:$AE$439,6,FALSE))</f>
        <v>0</v>
      </c>
      <c r="AA131" s="1">
        <f>ROUND((Z131/6)*Weightings!$M$7,1)</f>
        <v>0</v>
      </c>
      <c r="AB131" s="2">
        <f>IF(ISNA(VLOOKUP($CZ131,'Audit Values'!$A$2:$AE$439,2,FALSE)),'Preliminary SO66'!H128,VLOOKUP($CZ131,'Audit Values'!$A$2:$AE$439,8,FALSE))</f>
        <v>120</v>
      </c>
      <c r="AC131" s="1">
        <f>ROUND(AB131*Weightings!$M$8,1)</f>
        <v>54.7</v>
      </c>
      <c r="AD131" s="1">
        <f t="shared" si="197"/>
        <v>12.6</v>
      </c>
      <c r="AE131" s="185">
        <v>14</v>
      </c>
      <c r="AF131" s="1">
        <f>AE131*Weightings!$M$9</f>
        <v>0.7</v>
      </c>
      <c r="AG131" s="1">
        <f>IF(ISNA(VLOOKUP($CZ131,'Audit Values'!$A$2:$AE$439,2,FALSE)),'Preliminary SO66'!L128,VLOOKUP($CZ131,'Audit Values'!$A$2:$AE$439,12,FALSE))</f>
        <v>18.7</v>
      </c>
      <c r="AH131" s="1">
        <f>ROUND(AG131*Weightings!$M$10,1)</f>
        <v>4.7</v>
      </c>
      <c r="AI131" s="1">
        <f>IF(ISNA(VLOOKUP($CZ131,'Audit Values'!$A$2:$AE$439,2,FALSE)),'Preliminary SO66'!O128,VLOOKUP($CZ131,'Audit Values'!$A$2:$AE$439,15,FALSE))</f>
        <v>24</v>
      </c>
      <c r="AJ131" s="1">
        <f t="shared" si="151"/>
        <v>10.9</v>
      </c>
      <c r="AK131" s="1">
        <f>CC131/Weightings!$M$5</f>
        <v>0</v>
      </c>
      <c r="AL131" s="1">
        <f>CD131/Weightings!$M$5</f>
        <v>0</v>
      </c>
      <c r="AM131" s="1">
        <f>CH131/Weightings!$M$5</f>
        <v>0</v>
      </c>
      <c r="AN131" s="1">
        <f t="shared" si="181"/>
        <v>6</v>
      </c>
      <c r="AO131" s="1">
        <f>IF(ISNA(VLOOKUP($CZ131,'Audit Values'!$A$2:$AE$439,2,FALSE)),'Preliminary SO66'!X128,VLOOKUP($CZ131,'Audit Values'!$A$2:$AE$439,24,FALSE))</f>
        <v>0</v>
      </c>
      <c r="AP131" s="188">
        <v>289757.99999999994</v>
      </c>
      <c r="AQ131" s="113">
        <f>AP131/Weightings!$M$5</f>
        <v>75.5</v>
      </c>
      <c r="AR131" s="113">
        <f t="shared" si="152"/>
        <v>476.2</v>
      </c>
      <c r="AS131" s="1">
        <f t="shared" si="153"/>
        <v>551.70000000000005</v>
      </c>
      <c r="AT131" s="1">
        <f t="shared" si="154"/>
        <v>551.70000000000005</v>
      </c>
      <c r="AU131" s="2">
        <f t="shared" si="170"/>
        <v>0</v>
      </c>
      <c r="AV131" s="82">
        <f>IF(ISNA(VLOOKUP($CZ131,'Audit Values'!$A$2:$AC$360,2,FALSE)),"",IF(AND(Weightings!H131&gt;0,VLOOKUP($CZ131,'Audit Values'!$A$2:$AC$360,29,FALSE)&lt;Weightings!H131),Weightings!H131,VLOOKUP($CZ131,'Audit Values'!$A$2:$AC$360,29,FALSE)))</f>
        <v>31</v>
      </c>
      <c r="AW131" s="82" t="str">
        <f>IF(ISNA(VLOOKUP($CZ131,'Audit Values'!$A$2:$AD$360,2,FALSE)),"",VLOOKUP($CZ131,'Audit Values'!$A$2:$AD$360,30,FALSE))</f>
        <v>A</v>
      </c>
      <c r="AX131" s="82" t="str">
        <f>IF(Weightings!G131="","",IF(Weightings!I131="Pending","PX","R"))</f>
        <v>R</v>
      </c>
      <c r="AY131" s="114">
        <f>AR131*Weightings!$M$5+AU131</f>
        <v>1827656</v>
      </c>
      <c r="AZ131" s="2">
        <f>AT131*Weightings!$M$5+AU131</f>
        <v>2117425</v>
      </c>
      <c r="BA131" s="2">
        <f>IF(Weightings!G131&gt;0,Weightings!G131,'Preliminary SO66'!AB128)</f>
        <v>2225000</v>
      </c>
      <c r="BB131" s="2">
        <f t="shared" si="155"/>
        <v>2117425</v>
      </c>
      <c r="BC131" s="124"/>
      <c r="BD131" s="124">
        <f>Weightings!E131</f>
        <v>0</v>
      </c>
      <c r="BE131" s="124">
        <f>Weightings!F131</f>
        <v>0</v>
      </c>
      <c r="BF131" s="2">
        <f t="shared" si="156"/>
        <v>0</v>
      </c>
      <c r="BG131" s="2">
        <f t="shared" si="157"/>
        <v>2117425</v>
      </c>
      <c r="BH131" s="2">
        <f>MAX(ROUND(((AR131-AO131)*4433)+AP131,0),ROUND(((AR131-AO131)*4433)+Weightings!B131,0))</f>
        <v>2433296</v>
      </c>
      <c r="BI131" s="174">
        <v>0.3</v>
      </c>
      <c r="BJ131" s="2">
        <f t="shared" si="191"/>
        <v>729989</v>
      </c>
      <c r="BK131" s="173">
        <v>690000</v>
      </c>
      <c r="BL131" s="2">
        <f t="shared" si="194"/>
        <v>690000</v>
      </c>
      <c r="BM131" s="3">
        <f t="shared" si="171"/>
        <v>0.28360000000000002</v>
      </c>
      <c r="BN131" s="1">
        <f t="shared" si="159"/>
        <v>0</v>
      </c>
      <c r="BO131" s="4" t="b">
        <f t="shared" si="160"/>
        <v>1</v>
      </c>
      <c r="BP131" s="5">
        <f t="shared" si="161"/>
        <v>1251.288</v>
      </c>
      <c r="BQ131" s="6">
        <f t="shared" si="195"/>
        <v>0.67079699999999998</v>
      </c>
      <c r="BR131" s="4">
        <f t="shared" si="162"/>
        <v>154</v>
      </c>
      <c r="BS131" s="4" t="b">
        <f t="shared" si="163"/>
        <v>0</v>
      </c>
      <c r="BT131" s="4">
        <f t="shared" si="164"/>
        <v>0</v>
      </c>
      <c r="BU131" s="6">
        <f t="shared" si="196"/>
        <v>0</v>
      </c>
      <c r="BV131" s="1">
        <f t="shared" si="165"/>
        <v>0</v>
      </c>
      <c r="BW131" s="1">
        <f t="shared" si="166"/>
        <v>0</v>
      </c>
      <c r="BX131" s="116">
        <v>273</v>
      </c>
      <c r="BY131" s="7">
        <f t="shared" si="172"/>
        <v>0.09</v>
      </c>
      <c r="BZ131" s="7">
        <f>IF(ROUND((Weightings!$P$5*BY131^Weightings!$P$6*Weightings!$P$8 ),2)&lt;Weightings!$P$7,Weightings!$P$7,ROUND((Weightings!$P$5*BY131^Weightings!$P$6*Weightings!$P$8 ),2))</f>
        <v>1735.85</v>
      </c>
      <c r="CA131" s="8">
        <f>ROUND(BZ131/Weightings!$M$5,4)</f>
        <v>0.45229999999999998</v>
      </c>
      <c r="CB131" s="1">
        <f t="shared" si="173"/>
        <v>10.9</v>
      </c>
      <c r="CC131" s="173">
        <v>0</v>
      </c>
      <c r="CD131" s="173">
        <v>0</v>
      </c>
      <c r="CE131" s="173">
        <v>0</v>
      </c>
      <c r="CF131" s="177">
        <v>0</v>
      </c>
      <c r="CG131" s="2">
        <f>AS131*Weightings!$M$5*CF131</f>
        <v>0</v>
      </c>
      <c r="CH131" s="2">
        <f t="shared" si="198"/>
        <v>0</v>
      </c>
      <c r="CI131" s="117">
        <f t="shared" si="167"/>
        <v>0.52300000000000002</v>
      </c>
      <c r="CJ131" s="4">
        <f t="shared" si="168"/>
        <v>0.8</v>
      </c>
      <c r="CK131" s="1">
        <f t="shared" si="175"/>
        <v>12.6</v>
      </c>
      <c r="CL131" s="1">
        <f t="shared" si="176"/>
        <v>0</v>
      </c>
      <c r="CM131" s="1">
        <f t="shared" si="177"/>
        <v>0</v>
      </c>
      <c r="CN131" s="1">
        <f>IF(ISNA(VLOOKUP($CZ131,'Audit Values'!$A$2:$AE$439,2,FALSE)),'Preliminary SO66'!T128,VLOOKUP($CZ131,'Audit Values'!$A$2:$AE$439,20,FALSE))</f>
        <v>5.7</v>
      </c>
      <c r="CO131" s="1">
        <f t="shared" si="182"/>
        <v>6</v>
      </c>
      <c r="CP131" s="183">
        <v>0</v>
      </c>
      <c r="CQ131" s="1">
        <f t="shared" si="183"/>
        <v>0</v>
      </c>
      <c r="CR131" s="2">
        <f>IF(ISNA(VLOOKUP($CZ131,'Audit Values'!$A$2:$AE$439,2,FALSE)),'Preliminary SO66'!V128,VLOOKUP($CZ131,'Audit Values'!$A$2:$AE$439,22,FALSE))</f>
        <v>0</v>
      </c>
      <c r="CS131" s="1">
        <f t="shared" si="184"/>
        <v>0</v>
      </c>
      <c r="CT131" s="2">
        <f>IF(ISNA(VLOOKUP($CZ131,'Audit Values'!$A$2:$AE$439,2,FALSE)),'Preliminary SO66'!W128,VLOOKUP($CZ131,'Audit Values'!$A$2:$AE$439,23,FALSE))</f>
        <v>0</v>
      </c>
      <c r="CU131" s="1">
        <f t="shared" si="192"/>
        <v>0</v>
      </c>
      <c r="CV131" s="1">
        <f t="shared" si="193"/>
        <v>6</v>
      </c>
      <c r="CW131" s="176">
        <v>0</v>
      </c>
      <c r="CX131" s="2">
        <f>IF(CW131&gt;0,Weightings!$M$11*AR131,0)</f>
        <v>0</v>
      </c>
      <c r="CY131" s="2">
        <f t="shared" si="178"/>
        <v>0</v>
      </c>
      <c r="CZ131" s="108" t="s">
        <v>423</v>
      </c>
    </row>
    <row r="132" spans="1:104">
      <c r="A132" s="82">
        <v>335</v>
      </c>
      <c r="B132" s="4" t="s">
        <v>60</v>
      </c>
      <c r="C132" s="4" t="s">
        <v>759</v>
      </c>
      <c r="D132" s="1">
        <v>375.5</v>
      </c>
      <c r="E132" s="1">
        <v>0</v>
      </c>
      <c r="F132" s="1">
        <f t="shared" si="187"/>
        <v>375.5</v>
      </c>
      <c r="G132" s="1">
        <v>369</v>
      </c>
      <c r="H132" s="1">
        <v>0</v>
      </c>
      <c r="I132" s="1">
        <f t="shared" si="142"/>
        <v>369</v>
      </c>
      <c r="J132" s="1">
        <f t="shared" si="143"/>
        <v>388</v>
      </c>
      <c r="K132" s="1">
        <f>IF(ISNA(VLOOKUP($CZ132,'Audit Values'!$A$2:$AE$439,2,FALSE)),'Preliminary SO66'!B129,VLOOKUP($CZ132,'Audit Values'!$A$2:$AE$439,31,FALSE))</f>
        <v>388</v>
      </c>
      <c r="L132" s="1">
        <f t="shared" si="144"/>
        <v>388</v>
      </c>
      <c r="M132" s="1">
        <f>IF(ISNA(VLOOKUP($CZ132,'Audit Values'!$A$2:$AE$439,2,FALSE)),'Preliminary SO66'!Z129,VLOOKUP($CZ132,'Audit Values'!$A$2:$AE$439,26,FALSE))</f>
        <v>0</v>
      </c>
      <c r="N132" s="1">
        <f t="shared" si="145"/>
        <v>388</v>
      </c>
      <c r="O132" s="1">
        <f>IF(ISNA(VLOOKUP($CZ132,'Audit Values'!$A$2:$AE$439,2,FALSE)),'Preliminary SO66'!C129,IF(VLOOKUP($CZ132,'Audit Values'!$A$2:$AE$439,28,FALSE)="",VLOOKUP($CZ132,'Audit Values'!$A$2:$AE$439,3,FALSE),VLOOKUP($CZ132,'Audit Values'!$A$2:$AE$439,28,FALSE)))</f>
        <v>0</v>
      </c>
      <c r="P132" s="109">
        <f t="shared" si="146"/>
        <v>388</v>
      </c>
      <c r="Q132" s="110">
        <f t="shared" si="147"/>
        <v>388</v>
      </c>
      <c r="R132" s="111">
        <f t="shared" si="148"/>
        <v>388</v>
      </c>
      <c r="S132" s="1">
        <f t="shared" si="149"/>
        <v>388</v>
      </c>
      <c r="T132" s="1">
        <f t="shared" si="185"/>
        <v>0</v>
      </c>
      <c r="U132" s="1">
        <f t="shared" si="150"/>
        <v>176.3</v>
      </c>
      <c r="V132" s="1">
        <f t="shared" si="199"/>
        <v>176.3</v>
      </c>
      <c r="W132" s="1">
        <f t="shared" si="200"/>
        <v>0</v>
      </c>
      <c r="X132" s="1">
        <f>IF(ISNA(VLOOKUP($CZ132,'Audit Values'!$A$2:$AE$439,2,FALSE)),'Preliminary SO66'!D129,VLOOKUP($CZ132,'Audit Values'!$A$2:$AE$439,4,FALSE))</f>
        <v>116.2</v>
      </c>
      <c r="Y132" s="1">
        <f>ROUND((X132/6)*Weightings!$M$6,1)</f>
        <v>9.6999999999999993</v>
      </c>
      <c r="Z132" s="1">
        <f>IF(ISNA(VLOOKUP($CZ132,'Audit Values'!$A$2:$AE$439,2,FALSE)),'Preliminary SO66'!F129,VLOOKUP($CZ132,'Audit Values'!$A$2:$AE$439,6,FALSE))</f>
        <v>0</v>
      </c>
      <c r="AA132" s="1">
        <f>ROUND((Z132/6)*Weightings!$M$7,1)</f>
        <v>0</v>
      </c>
      <c r="AB132" s="2">
        <f>IF(ISNA(VLOOKUP($CZ132,'Audit Values'!$A$2:$AE$439,2,FALSE)),'Preliminary SO66'!H129,VLOOKUP($CZ132,'Audit Values'!$A$2:$AE$439,8,FALSE))</f>
        <v>114</v>
      </c>
      <c r="AC132" s="1">
        <f>ROUND(AB132*Weightings!$M$8,1)</f>
        <v>52</v>
      </c>
      <c r="AD132" s="1">
        <f t="shared" si="197"/>
        <v>0</v>
      </c>
      <c r="AE132" s="185">
        <v>21</v>
      </c>
      <c r="AF132" s="1">
        <f>AE132*Weightings!$M$9</f>
        <v>1</v>
      </c>
      <c r="AG132" s="1">
        <f>IF(ISNA(VLOOKUP($CZ132,'Audit Values'!$A$2:$AE$439,2,FALSE)),'Preliminary SO66'!L129,VLOOKUP($CZ132,'Audit Values'!$A$2:$AE$439,12,FALSE))</f>
        <v>0</v>
      </c>
      <c r="AH132" s="1">
        <f>ROUND(AG132*Weightings!$M$10,1)</f>
        <v>0</v>
      </c>
      <c r="AI132" s="1">
        <f>IF(ISNA(VLOOKUP($CZ132,'Audit Values'!$A$2:$AE$439,2,FALSE)),'Preliminary SO66'!O129,VLOOKUP($CZ132,'Audit Values'!$A$2:$AE$439,15,FALSE))</f>
        <v>279</v>
      </c>
      <c r="AJ132" s="1">
        <f t="shared" si="151"/>
        <v>68.5</v>
      </c>
      <c r="AK132" s="1">
        <f>CC132/Weightings!$M$5</f>
        <v>0</v>
      </c>
      <c r="AL132" s="1">
        <f>CD132/Weightings!$M$5</f>
        <v>0</v>
      </c>
      <c r="AM132" s="1">
        <f>CH132/Weightings!$M$5</f>
        <v>0</v>
      </c>
      <c r="AN132" s="1">
        <f t="shared" si="181"/>
        <v>0</v>
      </c>
      <c r="AO132" s="1">
        <f>IF(ISNA(VLOOKUP($CZ132,'Audit Values'!$A$2:$AE$439,2,FALSE)),'Preliminary SO66'!X129,VLOOKUP($CZ132,'Audit Values'!$A$2:$AE$439,24,FALSE))</f>
        <v>0</v>
      </c>
      <c r="AP132" s="188">
        <v>310958</v>
      </c>
      <c r="AQ132" s="113">
        <f>AP132/Weightings!$M$5</f>
        <v>81</v>
      </c>
      <c r="AR132" s="113">
        <f t="shared" si="152"/>
        <v>695.5</v>
      </c>
      <c r="AS132" s="1">
        <f t="shared" si="153"/>
        <v>776.5</v>
      </c>
      <c r="AT132" s="1">
        <f t="shared" si="154"/>
        <v>776.5</v>
      </c>
      <c r="AU132" s="2">
        <f t="shared" si="170"/>
        <v>0</v>
      </c>
      <c r="AV132" s="82">
        <f>IF(ISNA(VLOOKUP($CZ132,'Audit Values'!$A$2:$AC$360,2,FALSE)),"",IF(AND(Weightings!H132&gt;0,VLOOKUP($CZ132,'Audit Values'!$A$2:$AC$360,29,FALSE)&lt;Weightings!H132),Weightings!H132,VLOOKUP($CZ132,'Audit Values'!$A$2:$AC$360,29,FALSE)))</f>
        <v>10</v>
      </c>
      <c r="AW132" s="82" t="str">
        <f>IF(ISNA(VLOOKUP($CZ132,'Audit Values'!$A$2:$AD$360,2,FALSE)),"",VLOOKUP($CZ132,'Audit Values'!$A$2:$AD$360,30,FALSE))</f>
        <v>A</v>
      </c>
      <c r="AX132" s="82" t="str">
        <f>IF(Weightings!G132="","",IF(Weightings!I132="Pending","PX","R"))</f>
        <v/>
      </c>
      <c r="AY132" s="114">
        <f>AR132*Weightings!$M$5+AU132</f>
        <v>2669329</v>
      </c>
      <c r="AZ132" s="2">
        <f>AT132*Weightings!$M$5+AU132</f>
        <v>2980207</v>
      </c>
      <c r="BA132" s="2">
        <f>IF(Weightings!G132&gt;0,Weightings!G132,'Preliminary SO66'!AB129)</f>
        <v>3020122</v>
      </c>
      <c r="BB132" s="2">
        <f t="shared" si="155"/>
        <v>2980207</v>
      </c>
      <c r="BC132" s="124"/>
      <c r="BD132" s="124">
        <f>Weightings!E132</f>
        <v>0</v>
      </c>
      <c r="BE132" s="124">
        <f>Weightings!F132</f>
        <v>0</v>
      </c>
      <c r="BF132" s="2">
        <f t="shared" si="156"/>
        <v>0</v>
      </c>
      <c r="BG132" s="2">
        <f t="shared" si="157"/>
        <v>2980207</v>
      </c>
      <c r="BH132" s="2">
        <f>MAX(ROUND(((AR132-AO132)*4433)+AP132,0),ROUND(((AR132-AO132)*4433)+Weightings!B132,0))</f>
        <v>3394110</v>
      </c>
      <c r="BI132" s="174">
        <v>0.3</v>
      </c>
      <c r="BJ132" s="2">
        <f t="shared" si="191"/>
        <v>1018233</v>
      </c>
      <c r="BK132" s="173">
        <v>875725</v>
      </c>
      <c r="BL132" s="2">
        <f t="shared" si="194"/>
        <v>875725</v>
      </c>
      <c r="BM132" s="3">
        <f t="shared" si="171"/>
        <v>0.25800000000000001</v>
      </c>
      <c r="BN132" s="1">
        <f t="shared" si="159"/>
        <v>0</v>
      </c>
      <c r="BO132" s="4" t="b">
        <f t="shared" si="160"/>
        <v>0</v>
      </c>
      <c r="BP132" s="5">
        <f t="shared" si="161"/>
        <v>0</v>
      </c>
      <c r="BQ132" s="6">
        <f t="shared" si="195"/>
        <v>0</v>
      </c>
      <c r="BR132" s="4">
        <f t="shared" si="162"/>
        <v>0</v>
      </c>
      <c r="BS132" s="4" t="b">
        <f t="shared" si="163"/>
        <v>1</v>
      </c>
      <c r="BT132" s="4">
        <f t="shared" si="164"/>
        <v>108.9</v>
      </c>
      <c r="BU132" s="6">
        <f t="shared" si="196"/>
        <v>0.45428800000000003</v>
      </c>
      <c r="BV132" s="1">
        <f t="shared" si="165"/>
        <v>176.3</v>
      </c>
      <c r="BW132" s="1">
        <f t="shared" si="166"/>
        <v>0</v>
      </c>
      <c r="BX132" s="116">
        <v>213</v>
      </c>
      <c r="BY132" s="7">
        <f t="shared" si="172"/>
        <v>1.31</v>
      </c>
      <c r="BZ132" s="7">
        <f>IF(ROUND((Weightings!$P$5*BY132^Weightings!$P$6*Weightings!$P$8 ),2)&lt;Weightings!$P$7,Weightings!$P$7,ROUND((Weightings!$P$5*BY132^Weightings!$P$6*Weightings!$P$8 ),2))</f>
        <v>942.38</v>
      </c>
      <c r="CA132" s="8">
        <f>ROUND(BZ132/Weightings!$M$5,4)</f>
        <v>0.2455</v>
      </c>
      <c r="CB132" s="1">
        <f t="shared" si="173"/>
        <v>68.5</v>
      </c>
      <c r="CC132" s="173">
        <v>0</v>
      </c>
      <c r="CD132" s="173">
        <v>0</v>
      </c>
      <c r="CE132" s="173">
        <v>0</v>
      </c>
      <c r="CF132" s="177">
        <v>0</v>
      </c>
      <c r="CG132" s="2">
        <f>AS132*Weightings!$M$5*CF132</f>
        <v>0</v>
      </c>
      <c r="CH132" s="2">
        <f t="shared" si="198"/>
        <v>0</v>
      </c>
      <c r="CI132" s="117">
        <f t="shared" si="167"/>
        <v>0.29399999999999998</v>
      </c>
      <c r="CJ132" s="4">
        <f t="shared" si="168"/>
        <v>1.8</v>
      </c>
      <c r="CK132" s="1">
        <f t="shared" si="175"/>
        <v>0</v>
      </c>
      <c r="CL132" s="1">
        <f t="shared" si="176"/>
        <v>0</v>
      </c>
      <c r="CM132" s="1">
        <f t="shared" si="177"/>
        <v>0</v>
      </c>
      <c r="CN132" s="1">
        <f>IF(ISNA(VLOOKUP($CZ132,'Audit Values'!$A$2:$AE$439,2,FALSE)),'Preliminary SO66'!T129,VLOOKUP($CZ132,'Audit Values'!$A$2:$AE$439,20,FALSE))</f>
        <v>0</v>
      </c>
      <c r="CO132" s="1">
        <f t="shared" si="182"/>
        <v>0</v>
      </c>
      <c r="CP132" s="183">
        <v>0</v>
      </c>
      <c r="CQ132" s="1">
        <f t="shared" si="183"/>
        <v>0</v>
      </c>
      <c r="CR132" s="2">
        <f>IF(ISNA(VLOOKUP($CZ132,'Audit Values'!$A$2:$AE$439,2,FALSE)),'Preliminary SO66'!V129,VLOOKUP($CZ132,'Audit Values'!$A$2:$AE$439,22,FALSE))</f>
        <v>0</v>
      </c>
      <c r="CS132" s="1">
        <f t="shared" si="184"/>
        <v>0</v>
      </c>
      <c r="CT132" s="2">
        <f>IF(ISNA(VLOOKUP($CZ132,'Audit Values'!$A$2:$AE$439,2,FALSE)),'Preliminary SO66'!W129,VLOOKUP($CZ132,'Audit Values'!$A$2:$AE$439,23,FALSE))</f>
        <v>0</v>
      </c>
      <c r="CU132" s="1">
        <f t="shared" si="192"/>
        <v>0</v>
      </c>
      <c r="CV132" s="1">
        <f t="shared" si="193"/>
        <v>0</v>
      </c>
      <c r="CW132" s="176">
        <v>0</v>
      </c>
      <c r="CX132" s="2">
        <f>IF(CW132&gt;0,Weightings!$M$11*AR132,0)</f>
        <v>0</v>
      </c>
      <c r="CY132" s="2">
        <f t="shared" si="178"/>
        <v>0</v>
      </c>
      <c r="CZ132" s="108" t="s">
        <v>424</v>
      </c>
    </row>
    <row r="133" spans="1:104">
      <c r="A133" s="82">
        <v>336</v>
      </c>
      <c r="B133" s="4" t="s">
        <v>60</v>
      </c>
      <c r="C133" s="4" t="s">
        <v>760</v>
      </c>
      <c r="D133" s="1">
        <v>1112.5999999999999</v>
      </c>
      <c r="E133" s="1">
        <v>0</v>
      </c>
      <c r="F133" s="1">
        <f t="shared" si="187"/>
        <v>1112.5999999999999</v>
      </c>
      <c r="G133" s="1">
        <v>1102.0999999999999</v>
      </c>
      <c r="H133" s="1">
        <v>0</v>
      </c>
      <c r="I133" s="1">
        <f t="shared" ref="I133:I196" si="201">G133+H133</f>
        <v>1102.0999999999999</v>
      </c>
      <c r="J133" s="1">
        <f t="shared" ref="J133:J196" si="202">K133+T133</f>
        <v>1151.4000000000001</v>
      </c>
      <c r="K133" s="1">
        <f>IF(ISNA(VLOOKUP($CZ133,'Audit Values'!$A$2:$AE$439,2,FALSE)),'Preliminary SO66'!B130,VLOOKUP($CZ133,'Audit Values'!$A$2:$AE$439,31,FALSE))</f>
        <v>1151.4000000000001</v>
      </c>
      <c r="L133" s="1">
        <f t="shared" ref="L133:L196" si="203">MAX(K133, I133,AVERAGE(F133, I133, K133))</f>
        <v>1151.4000000000001</v>
      </c>
      <c r="M133" s="1">
        <f>IF(ISNA(VLOOKUP($CZ133,'Audit Values'!$A$2:$AE$439,2,FALSE)),'Preliminary SO66'!Z130,VLOOKUP($CZ133,'Audit Values'!$A$2:$AE$439,26,FALSE))</f>
        <v>0</v>
      </c>
      <c r="N133" s="1">
        <f t="shared" ref="N133:N196" si="204">L133+M133</f>
        <v>1151.4000000000001</v>
      </c>
      <c r="O133" s="1">
        <f>IF(ISNA(VLOOKUP($CZ133,'Audit Values'!$A$2:$AE$439,2,FALSE)),'Preliminary SO66'!C130,IF(VLOOKUP($CZ133,'Audit Values'!$A$2:$AE$439,28,FALSE)="",VLOOKUP($CZ133,'Audit Values'!$A$2:$AE$439,3,FALSE),VLOOKUP($CZ133,'Audit Values'!$A$2:$AE$439,28,FALSE)))</f>
        <v>0</v>
      </c>
      <c r="P133" s="109">
        <f t="shared" ref="P133:P196" si="205">K133+O133</f>
        <v>1151.4000000000001</v>
      </c>
      <c r="Q133" s="110">
        <f t="shared" ref="Q133:Q196" si="206">J133+O133</f>
        <v>1151.4000000000001</v>
      </c>
      <c r="R133" s="111">
        <f t="shared" ref="R133:R196" si="207">J133+O133+M133</f>
        <v>1151.4000000000001</v>
      </c>
      <c r="S133" s="1">
        <f t="shared" ref="S133:S196" si="208">L133+M133+O133</f>
        <v>1151.4000000000001</v>
      </c>
      <c r="T133" s="1">
        <f t="shared" si="185"/>
        <v>0</v>
      </c>
      <c r="U133" s="1">
        <f t="shared" ref="U133:U196" si="209">IF(L133&gt;0,MAX(BN133,BR133,BV133,BW133),0)</f>
        <v>224.4</v>
      </c>
      <c r="V133" s="1">
        <f t="shared" si="199"/>
        <v>224.4</v>
      </c>
      <c r="W133" s="1">
        <f t="shared" si="200"/>
        <v>0</v>
      </c>
      <c r="X133" s="1">
        <f>IF(ISNA(VLOOKUP($CZ133,'Audit Values'!$A$2:$AE$439,2,FALSE)),'Preliminary SO66'!D130,VLOOKUP($CZ133,'Audit Values'!$A$2:$AE$439,4,FALSE))</f>
        <v>379.2</v>
      </c>
      <c r="Y133" s="1">
        <f>ROUND((X133/6)*Weightings!$M$6,1)</f>
        <v>31.6</v>
      </c>
      <c r="Z133" s="1">
        <f>IF(ISNA(VLOOKUP($CZ133,'Audit Values'!$A$2:$AE$439,2,FALSE)),'Preliminary SO66'!F130,VLOOKUP($CZ133,'Audit Values'!$A$2:$AE$439,6,FALSE))</f>
        <v>47.6</v>
      </c>
      <c r="AA133" s="1">
        <f>ROUND((Z133/6)*Weightings!$M$7,1)</f>
        <v>3.1</v>
      </c>
      <c r="AB133" s="2">
        <f>IF(ISNA(VLOOKUP($CZ133,'Audit Values'!$A$2:$AE$439,2,FALSE)),'Preliminary SO66'!H130,VLOOKUP($CZ133,'Audit Values'!$A$2:$AE$439,8,FALSE))</f>
        <v>413</v>
      </c>
      <c r="AC133" s="1">
        <f>ROUND(AB133*Weightings!$M$8,1)</f>
        <v>188.3</v>
      </c>
      <c r="AD133" s="1">
        <f t="shared" si="197"/>
        <v>2.6</v>
      </c>
      <c r="AE133" s="185">
        <v>46</v>
      </c>
      <c r="AF133" s="1">
        <f>AE133*Weightings!$M$9</f>
        <v>2.1</v>
      </c>
      <c r="AG133" s="1">
        <f>IF(ISNA(VLOOKUP($CZ133,'Audit Values'!$A$2:$AE$439,2,FALSE)),'Preliminary SO66'!L130,VLOOKUP($CZ133,'Audit Values'!$A$2:$AE$439,12,FALSE))</f>
        <v>60.5</v>
      </c>
      <c r="AH133" s="1">
        <f>ROUND(AG133*Weightings!$M$10,1)</f>
        <v>15.1</v>
      </c>
      <c r="AI133" s="1">
        <f>IF(ISNA(VLOOKUP($CZ133,'Audit Values'!$A$2:$AE$439,2,FALSE)),'Preliminary SO66'!O130,VLOOKUP($CZ133,'Audit Values'!$A$2:$AE$439,15,FALSE))</f>
        <v>383</v>
      </c>
      <c r="AJ133" s="1">
        <f t="shared" ref="AJ133:AJ196" si="210">CB133</f>
        <v>82.5</v>
      </c>
      <c r="AK133" s="1">
        <f>CC133/Weightings!$M$5</f>
        <v>0</v>
      </c>
      <c r="AL133" s="1">
        <f>CD133/Weightings!$M$5</f>
        <v>0</v>
      </c>
      <c r="AM133" s="1">
        <f>CH133/Weightings!$M$5</f>
        <v>0</v>
      </c>
      <c r="AN133" s="1">
        <f t="shared" ref="AN133:AN195" si="211">CV133</f>
        <v>0</v>
      </c>
      <c r="AO133" s="1">
        <f>IF(ISNA(VLOOKUP($CZ133,'Audit Values'!$A$2:$AE$439,2,FALSE)),'Preliminary SO66'!X130,VLOOKUP($CZ133,'Audit Values'!$A$2:$AE$439,24,FALSE))</f>
        <v>1</v>
      </c>
      <c r="AP133" s="188">
        <v>878791.00000000012</v>
      </c>
      <c r="AQ133" s="113">
        <f>AP133/Weightings!$M$5</f>
        <v>229</v>
      </c>
      <c r="AR133" s="113">
        <f t="shared" ref="AR133:AR196" si="212">SUM(S133+ U133+ Y133+ AA133+ AC133+ AH133+ AJ133+ AK133+ AL133+ AD133+AF133+AM133+AN133+AO133)</f>
        <v>1702.1</v>
      </c>
      <c r="AS133" s="1">
        <f t="shared" ref="AS133:AS196" si="213">SUM(S133+U133+Y133+AA133+AC133+AH133+AJ133+AK133+AL133+AD133+AF133+AQ133+AN133+AO133)</f>
        <v>1931.1</v>
      </c>
      <c r="AT133" s="1">
        <f t="shared" ref="AT133:AT196" si="214">SUM(S133+U133+Y133+AA133+AC133+AH133+AJ133+AK133+AL133+AQ133+AD133+AF133+AM133+AN133+AO133)</f>
        <v>1931.1</v>
      </c>
      <c r="AU133" s="2">
        <f t="shared" si="170"/>
        <v>0</v>
      </c>
      <c r="AV133" s="82">
        <f>IF(ISNA(VLOOKUP($CZ133,'Audit Values'!$A$2:$AC$360,2,FALSE)),"",IF(AND(Weightings!H133&gt;0,VLOOKUP($CZ133,'Audit Values'!$A$2:$AC$360,29,FALSE)&lt;Weightings!H133),Weightings!H133,VLOOKUP($CZ133,'Audit Values'!$A$2:$AC$360,29,FALSE)))</f>
        <v>25</v>
      </c>
      <c r="AW133" s="82" t="str">
        <f>IF(ISNA(VLOOKUP($CZ133,'Audit Values'!$A$2:$AD$360,2,FALSE)),"",VLOOKUP($CZ133,'Audit Values'!$A$2:$AD$360,30,FALSE))</f>
        <v>A</v>
      </c>
      <c r="AX133" s="82" t="str">
        <f>IF(Weightings!G133="","",IF(Weightings!I133="Pending","PX","R"))</f>
        <v>R</v>
      </c>
      <c r="AY133" s="114">
        <f>AR133*Weightings!$M$5+AU133</f>
        <v>6532660</v>
      </c>
      <c r="AZ133" s="2">
        <f>AT133*Weightings!$M$5+AU133</f>
        <v>7411562</v>
      </c>
      <c r="BA133" s="2">
        <f>IF(Weightings!G133&gt;0,Weightings!G133,'Preliminary SO66'!AB130)</f>
        <v>7667940</v>
      </c>
      <c r="BB133" s="2">
        <f t="shared" ref="BB133:BB196" si="215">MIN(AZ133,BA133)</f>
        <v>7411562</v>
      </c>
      <c r="BC133" s="124"/>
      <c r="BD133" s="124">
        <f>Weightings!E133</f>
        <v>-10802</v>
      </c>
      <c r="BE133" s="124">
        <f>Weightings!F133</f>
        <v>0</v>
      </c>
      <c r="BF133" s="2">
        <f t="shared" ref="BF133:BF196" si="216">SUM(BC133:BE133)</f>
        <v>-10802</v>
      </c>
      <c r="BG133" s="2">
        <f t="shared" ref="BG133:BG196" si="217">BB133+BF133</f>
        <v>7400760</v>
      </c>
      <c r="BH133" s="2">
        <f>MAX(ROUND(((AR133-AO133)*4433)+AP133,0),ROUND(((AR133-AO133)*4433)+Weightings!B133,0))</f>
        <v>8532174</v>
      </c>
      <c r="BI133" s="174">
        <v>0.3</v>
      </c>
      <c r="BJ133" s="2">
        <f t="shared" si="191"/>
        <v>2559652</v>
      </c>
      <c r="BK133" s="173">
        <v>2555966</v>
      </c>
      <c r="BL133" s="2">
        <f t="shared" si="194"/>
        <v>2555966</v>
      </c>
      <c r="BM133" s="3">
        <f t="shared" si="171"/>
        <v>0.29959999999999998</v>
      </c>
      <c r="BN133" s="1">
        <f t="shared" ref="BN133:BN196" si="218">ROUND(IF(S133&lt;=99.9,(S133*1.014331),0),1)</f>
        <v>0</v>
      </c>
      <c r="BO133" s="4" t="b">
        <f t="shared" ref="BO133:BO196" si="219">AND(S133&gt;99.9,S133&lt;=299.9)</f>
        <v>0</v>
      </c>
      <c r="BP133" s="5">
        <f t="shared" ref="BP133:BP196" si="220">IF(BO133=TRUE,ROUND((S133-100)*9.655,3),0)</f>
        <v>0</v>
      </c>
      <c r="BQ133" s="6">
        <f t="shared" si="195"/>
        <v>0</v>
      </c>
      <c r="BR133" s="4">
        <f t="shared" ref="BR133:BR196" si="221">ROUND(S133*BQ133,1)</f>
        <v>0</v>
      </c>
      <c r="BS133" s="4" t="b">
        <f t="shared" ref="BS133:BS196" si="222">AND(S133&gt;299.9,S133&lt;=1621.9)</f>
        <v>1</v>
      </c>
      <c r="BT133" s="4">
        <f t="shared" ref="BT133:BT196" si="223">IF(BS133=TRUE,ROUND((S133-300)*1.2375,4),0)</f>
        <v>1053.6075000000001</v>
      </c>
      <c r="BU133" s="6">
        <f t="shared" si="196"/>
        <v>0.19492399999999999</v>
      </c>
      <c r="BV133" s="1">
        <f t="shared" ref="BV133:BV196" si="224">ROUND(BU133*S133,1)</f>
        <v>224.4</v>
      </c>
      <c r="BW133" s="1">
        <f t="shared" ref="BW133:BW196" si="225">ROUND(IF(S133&gt;=1622,(S133*0.03504),0),1)</f>
        <v>0</v>
      </c>
      <c r="BX133" s="116">
        <v>164.5</v>
      </c>
      <c r="BY133" s="7">
        <f t="shared" si="172"/>
        <v>2.33</v>
      </c>
      <c r="BZ133" s="7">
        <f>IF(ROUND((Weightings!$P$5*BY133^Weightings!$P$6*Weightings!$P$8 ),2)&lt;Weightings!$P$7,Weightings!$P$7,ROUND((Weightings!$P$5*BY133^Weightings!$P$6*Weightings!$P$8 ),2))</f>
        <v>826.38</v>
      </c>
      <c r="CA133" s="8">
        <f>ROUND(BZ133/Weightings!$M$5,4)</f>
        <v>0.21529999999999999</v>
      </c>
      <c r="CB133" s="1">
        <f t="shared" si="173"/>
        <v>82.5</v>
      </c>
      <c r="CC133" s="173">
        <v>0</v>
      </c>
      <c r="CD133" s="173">
        <v>0</v>
      </c>
      <c r="CE133" s="173">
        <v>0</v>
      </c>
      <c r="CF133" s="177">
        <v>0</v>
      </c>
      <c r="CG133" s="2">
        <f>AS133*Weightings!$M$5*CF133</f>
        <v>0</v>
      </c>
      <c r="CH133" s="2">
        <f t="shared" si="198"/>
        <v>0</v>
      </c>
      <c r="CI133" s="117">
        <f t="shared" ref="CI133:CI196" si="226">ROUND(AB133/S133,3)</f>
        <v>0.35899999999999999</v>
      </c>
      <c r="CJ133" s="4">
        <f t="shared" ref="CJ133:CJ196" si="227">ROUND(S133/BX133,1)</f>
        <v>7</v>
      </c>
      <c r="CK133" s="1">
        <f t="shared" si="175"/>
        <v>0</v>
      </c>
      <c r="CL133" s="1">
        <f t="shared" si="176"/>
        <v>0</v>
      </c>
      <c r="CM133" s="1">
        <f t="shared" si="177"/>
        <v>2.6</v>
      </c>
      <c r="CN133" s="1">
        <f>IF(ISNA(VLOOKUP($CZ133,'Audit Values'!$A$2:$AE$439,2,FALSE)),'Preliminary SO66'!T130,VLOOKUP($CZ133,'Audit Values'!$A$2:$AE$439,20,FALSE))</f>
        <v>0</v>
      </c>
      <c r="CO133" s="1">
        <f t="shared" ref="CO133:CO195" si="228">CN133*1.05</f>
        <v>0</v>
      </c>
      <c r="CP133" s="183">
        <v>0</v>
      </c>
      <c r="CQ133" s="1">
        <f t="shared" ref="CQ133:CQ195" si="229">CP133*0.25</f>
        <v>0</v>
      </c>
      <c r="CR133" s="2">
        <f>IF(ISNA(VLOOKUP($CZ133,'Audit Values'!$A$2:$AE$439,2,FALSE)),'Preliminary SO66'!V130,VLOOKUP($CZ133,'Audit Values'!$A$2:$AE$439,22,FALSE))</f>
        <v>0</v>
      </c>
      <c r="CS133" s="1">
        <f t="shared" ref="CS133:CS195" si="230">CR133*0.08</f>
        <v>0</v>
      </c>
      <c r="CT133" s="2">
        <f>IF(ISNA(VLOOKUP($CZ133,'Audit Values'!$A$2:$AE$439,2,FALSE)),'Preliminary SO66'!W130,VLOOKUP($CZ133,'Audit Values'!$A$2:$AE$439,23,FALSE))</f>
        <v>0</v>
      </c>
      <c r="CU133" s="1">
        <f t="shared" si="192"/>
        <v>0</v>
      </c>
      <c r="CV133" s="1">
        <f t="shared" si="193"/>
        <v>0</v>
      </c>
      <c r="CW133" s="176">
        <v>0</v>
      </c>
      <c r="CX133" s="2">
        <f>IF(CW133&gt;0,Weightings!$M$11*AR133,0)</f>
        <v>0</v>
      </c>
      <c r="CY133" s="2">
        <f t="shared" si="178"/>
        <v>0</v>
      </c>
      <c r="CZ133" s="108" t="s">
        <v>425</v>
      </c>
    </row>
    <row r="134" spans="1:104">
      <c r="A134" s="82">
        <v>337</v>
      </c>
      <c r="B134" s="4" t="s">
        <v>60</v>
      </c>
      <c r="C134" s="4" t="s">
        <v>761</v>
      </c>
      <c r="D134" s="1">
        <v>904.5</v>
      </c>
      <c r="E134" s="1">
        <v>0</v>
      </c>
      <c r="F134" s="1">
        <f t="shared" si="187"/>
        <v>904.5</v>
      </c>
      <c r="G134" s="1">
        <v>911.1</v>
      </c>
      <c r="H134" s="1">
        <v>0</v>
      </c>
      <c r="I134" s="1">
        <f t="shared" si="201"/>
        <v>911.1</v>
      </c>
      <c r="J134" s="1">
        <f t="shared" si="202"/>
        <v>917.4</v>
      </c>
      <c r="K134" s="1">
        <f>IF(ISNA(VLOOKUP($CZ134,'Audit Values'!$A$2:$AE$439,2,FALSE)),'Preliminary SO66'!B131,VLOOKUP($CZ134,'Audit Values'!$A$2:$AE$439,31,FALSE))</f>
        <v>917.4</v>
      </c>
      <c r="L134" s="1">
        <f t="shared" si="203"/>
        <v>917.4</v>
      </c>
      <c r="M134" s="1">
        <f>IF(ISNA(VLOOKUP($CZ134,'Audit Values'!$A$2:$AE$439,2,FALSE)),'Preliminary SO66'!Z131,VLOOKUP($CZ134,'Audit Values'!$A$2:$AE$439,26,FALSE))</f>
        <v>0</v>
      </c>
      <c r="N134" s="1">
        <f t="shared" si="204"/>
        <v>917.4</v>
      </c>
      <c r="O134" s="1">
        <f>IF(ISNA(VLOOKUP($CZ134,'Audit Values'!$A$2:$AE$439,2,FALSE)),'Preliminary SO66'!C131,IF(VLOOKUP($CZ134,'Audit Values'!$A$2:$AE$439,28,FALSE)="",VLOOKUP($CZ134,'Audit Values'!$A$2:$AE$439,3,FALSE),VLOOKUP($CZ134,'Audit Values'!$A$2:$AE$439,28,FALSE)))</f>
        <v>0</v>
      </c>
      <c r="P134" s="109">
        <f t="shared" si="205"/>
        <v>917.4</v>
      </c>
      <c r="Q134" s="110">
        <f t="shared" si="206"/>
        <v>917.4</v>
      </c>
      <c r="R134" s="111">
        <f t="shared" si="207"/>
        <v>917.4</v>
      </c>
      <c r="S134" s="1">
        <f t="shared" si="208"/>
        <v>917.4</v>
      </c>
      <c r="T134" s="1">
        <f t="shared" si="185"/>
        <v>0</v>
      </c>
      <c r="U134" s="1">
        <f t="shared" si="209"/>
        <v>251.8</v>
      </c>
      <c r="V134" s="1">
        <f t="shared" si="199"/>
        <v>251.8</v>
      </c>
      <c r="W134" s="1">
        <f t="shared" si="200"/>
        <v>0</v>
      </c>
      <c r="X134" s="1">
        <f>IF(ISNA(VLOOKUP($CZ134,'Audit Values'!$A$2:$AE$439,2,FALSE)),'Preliminary SO66'!D131,VLOOKUP($CZ134,'Audit Values'!$A$2:$AE$439,4,FALSE))</f>
        <v>258.7</v>
      </c>
      <c r="Y134" s="1">
        <f>ROUND((X134/6)*Weightings!$M$6,1)</f>
        <v>21.6</v>
      </c>
      <c r="Z134" s="1">
        <f>IF(ISNA(VLOOKUP($CZ134,'Audit Values'!$A$2:$AE$439,2,FALSE)),'Preliminary SO66'!F131,VLOOKUP($CZ134,'Audit Values'!$A$2:$AE$439,6,FALSE))</f>
        <v>0</v>
      </c>
      <c r="AA134" s="1">
        <f>ROUND((Z134/6)*Weightings!$M$7,1)</f>
        <v>0</v>
      </c>
      <c r="AB134" s="2">
        <f>IF(ISNA(VLOOKUP($CZ134,'Audit Values'!$A$2:$AE$439,2,FALSE)),'Preliminary SO66'!H131,VLOOKUP($CZ134,'Audit Values'!$A$2:$AE$439,8,FALSE))</f>
        <v>328</v>
      </c>
      <c r="AC134" s="1">
        <f>ROUND(AB134*Weightings!$M$8,1)</f>
        <v>149.6</v>
      </c>
      <c r="AD134" s="1">
        <f t="shared" si="197"/>
        <v>1.8</v>
      </c>
      <c r="AE134" s="185">
        <v>70</v>
      </c>
      <c r="AF134" s="1">
        <f>AE134*Weightings!$M$9</f>
        <v>3.3</v>
      </c>
      <c r="AG134" s="1">
        <f>IF(ISNA(VLOOKUP($CZ134,'Audit Values'!$A$2:$AE$439,2,FALSE)),'Preliminary SO66'!L131,VLOOKUP($CZ134,'Audit Values'!$A$2:$AE$439,12,FALSE))</f>
        <v>0</v>
      </c>
      <c r="AH134" s="1">
        <f>ROUND(AG134*Weightings!$M$10,1)</f>
        <v>0</v>
      </c>
      <c r="AI134" s="1">
        <f>IF(ISNA(VLOOKUP($CZ134,'Audit Values'!$A$2:$AE$439,2,FALSE)),'Preliminary SO66'!O131,VLOOKUP($CZ134,'Audit Values'!$A$2:$AE$439,15,FALSE))</f>
        <v>661</v>
      </c>
      <c r="AJ134" s="1">
        <f t="shared" si="210"/>
        <v>126.4</v>
      </c>
      <c r="AK134" s="1">
        <f>CC134/Weightings!$M$5</f>
        <v>0</v>
      </c>
      <c r="AL134" s="1">
        <f>CD134/Weightings!$M$5</f>
        <v>0</v>
      </c>
      <c r="AM134" s="1">
        <f>CH134/Weightings!$M$5</f>
        <v>0</v>
      </c>
      <c r="AN134" s="1">
        <f t="shared" si="211"/>
        <v>0</v>
      </c>
      <c r="AO134" s="1">
        <f>IF(ISNA(VLOOKUP($CZ134,'Audit Values'!$A$2:$AE$439,2,FALSE)),'Preliminary SO66'!X131,VLOOKUP($CZ134,'Audit Values'!$A$2:$AE$439,24,FALSE))</f>
        <v>1</v>
      </c>
      <c r="AP134" s="188">
        <v>896410</v>
      </c>
      <c r="AQ134" s="113">
        <f>AP134/Weightings!$M$5</f>
        <v>233.6</v>
      </c>
      <c r="AR134" s="113">
        <f t="shared" si="212"/>
        <v>1472.9</v>
      </c>
      <c r="AS134" s="1">
        <f t="shared" si="213"/>
        <v>1706.5</v>
      </c>
      <c r="AT134" s="1">
        <f t="shared" si="214"/>
        <v>1706.5</v>
      </c>
      <c r="AU134" s="2">
        <f t="shared" ref="AU134:AU197" si="231">CY134</f>
        <v>0</v>
      </c>
      <c r="AV134" s="82">
        <f>IF(ISNA(VLOOKUP($CZ134,'Audit Values'!$A$2:$AC$360,2,FALSE)),"",IF(AND(Weightings!H134&gt;0,VLOOKUP($CZ134,'Audit Values'!$A$2:$AC$360,29,FALSE)&lt;Weightings!H134),Weightings!H134,VLOOKUP($CZ134,'Audit Values'!$A$2:$AC$360,29,FALSE)))</f>
        <v>10</v>
      </c>
      <c r="AW134" s="82" t="str">
        <f>IF(ISNA(VLOOKUP($CZ134,'Audit Values'!$A$2:$AD$360,2,FALSE)),"",VLOOKUP($CZ134,'Audit Values'!$A$2:$AD$360,30,FALSE))</f>
        <v>A</v>
      </c>
      <c r="AX134" s="82" t="str">
        <f>IF(Weightings!G134="","",IF(Weightings!I134="Pending","PX","R"))</f>
        <v/>
      </c>
      <c r="AY134" s="114">
        <f>AR134*Weightings!$M$5+AU134</f>
        <v>5652990</v>
      </c>
      <c r="AZ134" s="2">
        <f>AT134*Weightings!$M$5+AU134</f>
        <v>6549547</v>
      </c>
      <c r="BA134" s="2">
        <f>IF(Weightings!G134&gt;0,Weightings!G134,'Preliminary SO66'!AB131)</f>
        <v>6706905</v>
      </c>
      <c r="BB134" s="2">
        <f t="shared" si="215"/>
        <v>6549547</v>
      </c>
      <c r="BC134" s="124"/>
      <c r="BD134" s="124">
        <f>Weightings!E134</f>
        <v>-731</v>
      </c>
      <c r="BE134" s="124">
        <f>Weightings!F134</f>
        <v>0</v>
      </c>
      <c r="BF134" s="2">
        <f t="shared" si="216"/>
        <v>-731</v>
      </c>
      <c r="BG134" s="2">
        <f t="shared" si="217"/>
        <v>6548816</v>
      </c>
      <c r="BH134" s="2">
        <f>MAX(ROUND(((AR134-AO134)*4433)+AP134,0),ROUND(((AR134-AO134)*4433)+Weightings!B134,0))</f>
        <v>7468820</v>
      </c>
      <c r="BI134" s="174">
        <v>0.3</v>
      </c>
      <c r="BJ134" s="2">
        <f t="shared" si="191"/>
        <v>2240646</v>
      </c>
      <c r="BK134" s="173">
        <v>2220000</v>
      </c>
      <c r="BL134" s="2">
        <f t="shared" si="194"/>
        <v>2220000</v>
      </c>
      <c r="BM134" s="3">
        <f t="shared" ref="BM134:BM197" si="232">BL134/BH134</f>
        <v>0.29720000000000002</v>
      </c>
      <c r="BN134" s="1">
        <f t="shared" si="218"/>
        <v>0</v>
      </c>
      <c r="BO134" s="4" t="b">
        <f t="shared" si="219"/>
        <v>0</v>
      </c>
      <c r="BP134" s="5">
        <f t="shared" si="220"/>
        <v>0</v>
      </c>
      <c r="BQ134" s="6">
        <f t="shared" si="195"/>
        <v>0</v>
      </c>
      <c r="BR134" s="4">
        <f t="shared" si="221"/>
        <v>0</v>
      </c>
      <c r="BS134" s="4" t="b">
        <f t="shared" si="222"/>
        <v>1</v>
      </c>
      <c r="BT134" s="4">
        <f t="shared" si="223"/>
        <v>764.03250000000003</v>
      </c>
      <c r="BU134" s="6">
        <f t="shared" si="196"/>
        <v>0.274426</v>
      </c>
      <c r="BV134" s="1">
        <f t="shared" si="224"/>
        <v>251.8</v>
      </c>
      <c r="BW134" s="1">
        <f t="shared" si="225"/>
        <v>0</v>
      </c>
      <c r="BX134" s="116">
        <v>169</v>
      </c>
      <c r="BY134" s="7">
        <f t="shared" ref="BY134:BY197" si="233">AI134/BX134</f>
        <v>3.91</v>
      </c>
      <c r="BZ134" s="7">
        <f>IF(ROUND((Weightings!$P$5*BY134^Weightings!$P$6*Weightings!$P$8 ),2)&lt;Weightings!$P$7,Weightings!$P$7,ROUND((Weightings!$P$5*BY134^Weightings!$P$6*Weightings!$P$8 ),2))</f>
        <v>734.34</v>
      </c>
      <c r="CA134" s="8">
        <f>ROUND(BZ134/Weightings!$M$5,4)</f>
        <v>0.1913</v>
      </c>
      <c r="CB134" s="1">
        <f t="shared" ref="CB134:CB197" si="234">ROUND(IF(AI134&gt;0,CA134*AI134,0),1)</f>
        <v>126.4</v>
      </c>
      <c r="CC134" s="173">
        <v>0</v>
      </c>
      <c r="CD134" s="173">
        <v>0</v>
      </c>
      <c r="CE134" s="173">
        <v>0</v>
      </c>
      <c r="CF134" s="177">
        <v>0</v>
      </c>
      <c r="CG134" s="2">
        <f>AS134*Weightings!$M$5*CF134</f>
        <v>0</v>
      </c>
      <c r="CH134" s="2">
        <f t="shared" si="198"/>
        <v>0</v>
      </c>
      <c r="CI134" s="117">
        <f t="shared" si="226"/>
        <v>0.35799999999999998</v>
      </c>
      <c r="CJ134" s="4">
        <f t="shared" si="227"/>
        <v>5.4</v>
      </c>
      <c r="CK134" s="1">
        <f t="shared" ref="CK134:CK197" si="235">IF(CI134&gt;=50%,AB134*10.5%,0)</f>
        <v>0</v>
      </c>
      <c r="CL134" s="1">
        <f t="shared" ref="CL134:CL197" si="236">IF(AND(CI134&gt;=35.1%,CJ134&gt;212),AB134*0.105,0)</f>
        <v>0</v>
      </c>
      <c r="CM134" s="1">
        <f t="shared" ref="CM134:CM197" si="237">IF(AND((CI134-0.35)&gt;0,CI134&lt;0.5),AB134*(CI134-0.35)*0.7,0)</f>
        <v>1.8</v>
      </c>
      <c r="CN134" s="1">
        <f>IF(ISNA(VLOOKUP($CZ134,'Audit Values'!$A$2:$AE$439,2,FALSE)),'Preliminary SO66'!T131,VLOOKUP($CZ134,'Audit Values'!$A$2:$AE$439,20,FALSE))</f>
        <v>0</v>
      </c>
      <c r="CO134" s="1">
        <f t="shared" si="228"/>
        <v>0</v>
      </c>
      <c r="CP134" s="183">
        <v>0</v>
      </c>
      <c r="CQ134" s="1">
        <f t="shared" si="229"/>
        <v>0</v>
      </c>
      <c r="CR134" s="2">
        <f>IF(ISNA(VLOOKUP($CZ134,'Audit Values'!$A$2:$AE$439,2,FALSE)),'Preliminary SO66'!V131,VLOOKUP($CZ134,'Audit Values'!$A$2:$AE$439,22,FALSE))</f>
        <v>0</v>
      </c>
      <c r="CS134" s="1">
        <f t="shared" si="230"/>
        <v>0</v>
      </c>
      <c r="CT134" s="2">
        <f>IF(ISNA(VLOOKUP($CZ134,'Audit Values'!$A$2:$AE$439,2,FALSE)),'Preliminary SO66'!W131,VLOOKUP($CZ134,'Audit Values'!$A$2:$AE$439,23,FALSE))</f>
        <v>0</v>
      </c>
      <c r="CU134" s="1">
        <f t="shared" si="192"/>
        <v>0</v>
      </c>
      <c r="CV134" s="1">
        <f t="shared" si="193"/>
        <v>0</v>
      </c>
      <c r="CW134" s="176">
        <v>0</v>
      </c>
      <c r="CX134" s="2">
        <f>IF(CW134&gt;0,Weightings!$M$11*AR134,0)</f>
        <v>0</v>
      </c>
      <c r="CY134" s="2">
        <f t="shared" ref="CY134:CY197" si="238">MIN(CW134,CX134)</f>
        <v>0</v>
      </c>
      <c r="CZ134" s="108" t="s">
        <v>426</v>
      </c>
    </row>
    <row r="135" spans="1:104">
      <c r="A135" s="82">
        <v>338</v>
      </c>
      <c r="B135" s="4" t="s">
        <v>61</v>
      </c>
      <c r="C135" s="4" t="s">
        <v>762</v>
      </c>
      <c r="D135" s="1">
        <v>393.5</v>
      </c>
      <c r="E135" s="1">
        <v>0</v>
      </c>
      <c r="F135" s="1">
        <f t="shared" si="187"/>
        <v>393.5</v>
      </c>
      <c r="G135" s="1">
        <v>373</v>
      </c>
      <c r="H135" s="1">
        <v>0</v>
      </c>
      <c r="I135" s="1">
        <f t="shared" si="201"/>
        <v>373</v>
      </c>
      <c r="J135" s="1">
        <f t="shared" si="202"/>
        <v>388.5</v>
      </c>
      <c r="K135" s="1">
        <f>IF(ISNA(VLOOKUP($CZ135,'Audit Values'!$A$2:$AE$439,2,FALSE)),'Preliminary SO66'!B132,VLOOKUP($CZ135,'Audit Values'!$A$2:$AE$439,31,FALSE))</f>
        <v>388.5</v>
      </c>
      <c r="L135" s="1">
        <f t="shared" si="203"/>
        <v>388.5</v>
      </c>
      <c r="M135" s="1">
        <f>IF(ISNA(VLOOKUP($CZ135,'Audit Values'!$A$2:$AE$439,2,FALSE)),'Preliminary SO66'!Z132,VLOOKUP($CZ135,'Audit Values'!$A$2:$AE$439,26,FALSE))</f>
        <v>0</v>
      </c>
      <c r="N135" s="1">
        <f t="shared" si="204"/>
        <v>388.5</v>
      </c>
      <c r="O135" s="1">
        <f>IF(ISNA(VLOOKUP($CZ135,'Audit Values'!$A$2:$AE$439,2,FALSE)),'Preliminary SO66'!C132,IF(VLOOKUP($CZ135,'Audit Values'!$A$2:$AE$439,28,FALSE)="",VLOOKUP($CZ135,'Audit Values'!$A$2:$AE$439,3,FALSE),VLOOKUP($CZ135,'Audit Values'!$A$2:$AE$439,28,FALSE)))</f>
        <v>5.5</v>
      </c>
      <c r="P135" s="109">
        <f t="shared" si="205"/>
        <v>394</v>
      </c>
      <c r="Q135" s="110">
        <f t="shared" si="206"/>
        <v>394</v>
      </c>
      <c r="R135" s="111">
        <f t="shared" si="207"/>
        <v>394</v>
      </c>
      <c r="S135" s="1">
        <f t="shared" si="208"/>
        <v>394</v>
      </c>
      <c r="T135" s="1">
        <f t="shared" si="185"/>
        <v>0</v>
      </c>
      <c r="U135" s="1">
        <f t="shared" si="209"/>
        <v>178.2</v>
      </c>
      <c r="V135" s="1">
        <f t="shared" si="199"/>
        <v>178.2</v>
      </c>
      <c r="W135" s="1">
        <f t="shared" si="200"/>
        <v>0</v>
      </c>
      <c r="X135" s="1">
        <f>IF(ISNA(VLOOKUP($CZ135,'Audit Values'!$A$2:$AE$439,2,FALSE)),'Preliminary SO66'!D132,VLOOKUP($CZ135,'Audit Values'!$A$2:$AE$439,4,FALSE))</f>
        <v>109.4</v>
      </c>
      <c r="Y135" s="1">
        <f>ROUND((X135/6)*Weightings!$M$6,1)</f>
        <v>9.1</v>
      </c>
      <c r="Z135" s="1">
        <f>IF(ISNA(VLOOKUP($CZ135,'Audit Values'!$A$2:$AE$439,2,FALSE)),'Preliminary SO66'!F132,VLOOKUP($CZ135,'Audit Values'!$A$2:$AE$439,6,FALSE))</f>
        <v>0</v>
      </c>
      <c r="AA135" s="1">
        <f>ROUND((Z135/6)*Weightings!$M$7,1)</f>
        <v>0</v>
      </c>
      <c r="AB135" s="2">
        <f>IF(ISNA(VLOOKUP($CZ135,'Audit Values'!$A$2:$AE$439,2,FALSE)),'Preliminary SO66'!H132,VLOOKUP($CZ135,'Audit Values'!$A$2:$AE$439,8,FALSE))</f>
        <v>150</v>
      </c>
      <c r="AC135" s="1">
        <f>ROUND(AB135*Weightings!$M$8,1)</f>
        <v>68.400000000000006</v>
      </c>
      <c r="AD135" s="1">
        <f t="shared" si="197"/>
        <v>3.3</v>
      </c>
      <c r="AE135" s="185">
        <v>8</v>
      </c>
      <c r="AF135" s="1">
        <f>AE135*Weightings!$M$9</f>
        <v>0.4</v>
      </c>
      <c r="AG135" s="1">
        <f>IF(ISNA(VLOOKUP($CZ135,'Audit Values'!$A$2:$AE$439,2,FALSE)),'Preliminary SO66'!L132,VLOOKUP($CZ135,'Audit Values'!$A$2:$AE$439,12,FALSE))</f>
        <v>0</v>
      </c>
      <c r="AH135" s="1">
        <f>ROUND(AG135*Weightings!$M$10,1)</f>
        <v>0</v>
      </c>
      <c r="AI135" s="1">
        <f>IF(ISNA(VLOOKUP($CZ135,'Audit Values'!$A$2:$AE$439,2,FALSE)),'Preliminary SO66'!O132,VLOOKUP($CZ135,'Audit Values'!$A$2:$AE$439,15,FALSE))</f>
        <v>138</v>
      </c>
      <c r="AJ135" s="1">
        <f t="shared" si="210"/>
        <v>34.6</v>
      </c>
      <c r="AK135" s="1">
        <f>CC135/Weightings!$M$5</f>
        <v>0</v>
      </c>
      <c r="AL135" s="1">
        <f>CD135/Weightings!$M$5</f>
        <v>0</v>
      </c>
      <c r="AM135" s="1">
        <f>CH135/Weightings!$M$5</f>
        <v>0</v>
      </c>
      <c r="AN135" s="1">
        <f t="shared" si="211"/>
        <v>0</v>
      </c>
      <c r="AO135" s="1">
        <f>IF(ISNA(VLOOKUP($CZ135,'Audit Values'!$A$2:$AE$439,2,FALSE)),'Preliminary SO66'!X132,VLOOKUP($CZ135,'Audit Values'!$A$2:$AE$439,24,FALSE))</f>
        <v>0</v>
      </c>
      <c r="AP135" s="188">
        <v>452505</v>
      </c>
      <c r="AQ135" s="113">
        <f>AP135/Weightings!$M$5</f>
        <v>117.9</v>
      </c>
      <c r="AR135" s="113">
        <f t="shared" si="212"/>
        <v>688</v>
      </c>
      <c r="AS135" s="1">
        <f t="shared" si="213"/>
        <v>805.9</v>
      </c>
      <c r="AT135" s="1">
        <f t="shared" si="214"/>
        <v>805.9</v>
      </c>
      <c r="AU135" s="2">
        <f t="shared" si="231"/>
        <v>38600</v>
      </c>
      <c r="AV135" s="82">
        <f>IF(ISNA(VLOOKUP($CZ135,'Audit Values'!$A$2:$AC$360,2,FALSE)),"",IF(AND(Weightings!H135&gt;0,VLOOKUP($CZ135,'Audit Values'!$A$2:$AC$360,29,FALSE)&lt;Weightings!H135),Weightings!H135,VLOOKUP($CZ135,'Audit Values'!$A$2:$AC$360,29,FALSE)))</f>
        <v>21</v>
      </c>
      <c r="AW135" s="82" t="str">
        <f>IF(ISNA(VLOOKUP($CZ135,'Audit Values'!$A$2:$AD$360,2,FALSE)),"",VLOOKUP($CZ135,'Audit Values'!$A$2:$AD$360,30,FALSE))</f>
        <v>A</v>
      </c>
      <c r="AX135" s="82" t="str">
        <f>IF(Weightings!G135="","",IF(Weightings!I135="Pending","PX","R"))</f>
        <v>R</v>
      </c>
      <c r="AY135" s="114">
        <f>AR135*Weightings!$M$5+AU135</f>
        <v>2679144</v>
      </c>
      <c r="AZ135" s="2">
        <f>AT135*Weightings!$M$5+AU135</f>
        <v>3131644</v>
      </c>
      <c r="BA135" s="2">
        <f>IF(Weightings!G135&gt;0,Weightings!G135,'Preliminary SO66'!AB132)</f>
        <v>3131644</v>
      </c>
      <c r="BB135" s="2">
        <f t="shared" si="215"/>
        <v>3131644</v>
      </c>
      <c r="BC135" s="124"/>
      <c r="BD135" s="124">
        <f>Weightings!E135</f>
        <v>0</v>
      </c>
      <c r="BE135" s="124">
        <f>Weightings!F135</f>
        <v>0</v>
      </c>
      <c r="BF135" s="2">
        <f t="shared" si="216"/>
        <v>0</v>
      </c>
      <c r="BG135" s="2">
        <f t="shared" si="217"/>
        <v>3131644</v>
      </c>
      <c r="BH135" s="2">
        <f>MAX(ROUND(((AR135-AO135)*4433)+AP135,0),ROUND(((AR135-AO135)*4433)+Weightings!B135,0))</f>
        <v>3502409</v>
      </c>
      <c r="BI135" s="174">
        <v>0.3</v>
      </c>
      <c r="BJ135" s="2">
        <f t="shared" si="191"/>
        <v>1050723</v>
      </c>
      <c r="BK135" s="173">
        <v>1016655</v>
      </c>
      <c r="BL135" s="2">
        <f t="shared" si="194"/>
        <v>1016655</v>
      </c>
      <c r="BM135" s="3">
        <f t="shared" si="232"/>
        <v>0.2903</v>
      </c>
      <c r="BN135" s="1">
        <f t="shared" si="218"/>
        <v>0</v>
      </c>
      <c r="BO135" s="4" t="b">
        <f t="shared" si="219"/>
        <v>0</v>
      </c>
      <c r="BP135" s="5">
        <f t="shared" si="220"/>
        <v>0</v>
      </c>
      <c r="BQ135" s="6">
        <f t="shared" si="195"/>
        <v>0</v>
      </c>
      <c r="BR135" s="4">
        <f t="shared" si="221"/>
        <v>0</v>
      </c>
      <c r="BS135" s="4" t="b">
        <f t="shared" si="222"/>
        <v>1</v>
      </c>
      <c r="BT135" s="4">
        <f t="shared" si="223"/>
        <v>116.325</v>
      </c>
      <c r="BU135" s="6">
        <f t="shared" si="196"/>
        <v>0.45224999999999999</v>
      </c>
      <c r="BV135" s="1">
        <f t="shared" si="224"/>
        <v>178.2</v>
      </c>
      <c r="BW135" s="1">
        <f t="shared" si="225"/>
        <v>0</v>
      </c>
      <c r="BX135" s="116">
        <v>115</v>
      </c>
      <c r="BY135" s="7">
        <f t="shared" si="233"/>
        <v>1.2</v>
      </c>
      <c r="BZ135" s="7">
        <f>IF(ROUND((Weightings!$P$5*BY135^Weightings!$P$6*Weightings!$P$8 ),2)&lt;Weightings!$P$7,Weightings!$P$7,ROUND((Weightings!$P$5*BY135^Weightings!$P$6*Weightings!$P$8 ),2))</f>
        <v>961.42</v>
      </c>
      <c r="CA135" s="8">
        <f>ROUND(BZ135/Weightings!$M$5,4)</f>
        <v>0.2505</v>
      </c>
      <c r="CB135" s="1">
        <f t="shared" si="234"/>
        <v>34.6</v>
      </c>
      <c r="CC135" s="173">
        <v>0</v>
      </c>
      <c r="CD135" s="173">
        <v>0</v>
      </c>
      <c r="CE135" s="173">
        <v>0</v>
      </c>
      <c r="CF135" s="177">
        <v>0</v>
      </c>
      <c r="CG135" s="2">
        <f>AS135*Weightings!$M$5*CF135</f>
        <v>0</v>
      </c>
      <c r="CH135" s="2">
        <f t="shared" si="198"/>
        <v>0</v>
      </c>
      <c r="CI135" s="117">
        <f t="shared" si="226"/>
        <v>0.38100000000000001</v>
      </c>
      <c r="CJ135" s="4">
        <f t="shared" si="227"/>
        <v>3.4</v>
      </c>
      <c r="CK135" s="1">
        <f t="shared" si="235"/>
        <v>0</v>
      </c>
      <c r="CL135" s="1">
        <f t="shared" si="236"/>
        <v>0</v>
      </c>
      <c r="CM135" s="1">
        <f t="shared" si="237"/>
        <v>3.3</v>
      </c>
      <c r="CN135" s="1">
        <f>IF(ISNA(VLOOKUP($CZ135,'Audit Values'!$A$2:$AE$439,2,FALSE)),'Preliminary SO66'!T132,VLOOKUP($CZ135,'Audit Values'!$A$2:$AE$439,20,FALSE))</f>
        <v>0</v>
      </c>
      <c r="CO135" s="1">
        <f t="shared" si="228"/>
        <v>0</v>
      </c>
      <c r="CP135" s="183">
        <v>0</v>
      </c>
      <c r="CQ135" s="1">
        <f t="shared" si="229"/>
        <v>0</v>
      </c>
      <c r="CR135" s="2">
        <f>IF(ISNA(VLOOKUP($CZ135,'Audit Values'!$A$2:$AE$439,2,FALSE)),'Preliminary SO66'!V132,VLOOKUP($CZ135,'Audit Values'!$A$2:$AE$439,22,FALSE))</f>
        <v>0</v>
      </c>
      <c r="CS135" s="1">
        <f t="shared" si="230"/>
        <v>0</v>
      </c>
      <c r="CT135" s="2">
        <f>IF(ISNA(VLOOKUP($CZ135,'Audit Values'!$A$2:$AE$439,2,FALSE)),'Preliminary SO66'!W132,VLOOKUP($CZ135,'Audit Values'!$A$2:$AE$439,23,FALSE))</f>
        <v>0</v>
      </c>
      <c r="CU135" s="1">
        <f t="shared" si="192"/>
        <v>0</v>
      </c>
      <c r="CV135" s="1">
        <f t="shared" si="193"/>
        <v>0</v>
      </c>
      <c r="CW135" s="176">
        <v>38600</v>
      </c>
      <c r="CX135" s="2">
        <f>IF(CW135&gt;0,Weightings!$M$11*AR135,0)</f>
        <v>172000</v>
      </c>
      <c r="CY135" s="2">
        <f t="shared" si="238"/>
        <v>38600</v>
      </c>
      <c r="CZ135" s="108" t="s">
        <v>427</v>
      </c>
    </row>
    <row r="136" spans="1:104">
      <c r="A136" s="82">
        <v>339</v>
      </c>
      <c r="B136" s="4" t="s">
        <v>61</v>
      </c>
      <c r="C136" s="4" t="s">
        <v>763</v>
      </c>
      <c r="D136" s="1">
        <v>459</v>
      </c>
      <c r="E136" s="1">
        <v>0</v>
      </c>
      <c r="F136" s="1">
        <f t="shared" si="187"/>
        <v>459</v>
      </c>
      <c r="G136" s="1">
        <v>437.5</v>
      </c>
      <c r="H136" s="1">
        <v>0</v>
      </c>
      <c r="I136" s="1">
        <f t="shared" si="201"/>
        <v>437.5</v>
      </c>
      <c r="J136" s="1">
        <f t="shared" si="202"/>
        <v>431</v>
      </c>
      <c r="K136" s="1">
        <f>IF(ISNA(VLOOKUP($CZ136,'Audit Values'!$A$2:$AE$439,2,FALSE)),'Preliminary SO66'!B133,VLOOKUP($CZ136,'Audit Values'!$A$2:$AE$439,31,FALSE))</f>
        <v>431</v>
      </c>
      <c r="L136" s="1">
        <f t="shared" si="203"/>
        <v>442.5</v>
      </c>
      <c r="M136" s="1">
        <f>IF(ISNA(VLOOKUP($CZ136,'Audit Values'!$A$2:$AE$439,2,FALSE)),'Preliminary SO66'!Z133,VLOOKUP($CZ136,'Audit Values'!$A$2:$AE$439,26,FALSE))</f>
        <v>0</v>
      </c>
      <c r="N136" s="1">
        <f t="shared" si="204"/>
        <v>442.5</v>
      </c>
      <c r="O136" s="1">
        <f>IF(ISNA(VLOOKUP($CZ136,'Audit Values'!$A$2:$AE$439,2,FALSE)),'Preliminary SO66'!C133,IF(VLOOKUP($CZ136,'Audit Values'!$A$2:$AE$439,28,FALSE)="",VLOOKUP($CZ136,'Audit Values'!$A$2:$AE$439,3,FALSE),VLOOKUP($CZ136,'Audit Values'!$A$2:$AE$439,28,FALSE)))</f>
        <v>5</v>
      </c>
      <c r="P136" s="109">
        <f t="shared" si="205"/>
        <v>436</v>
      </c>
      <c r="Q136" s="110">
        <f t="shared" si="206"/>
        <v>436</v>
      </c>
      <c r="R136" s="111">
        <f t="shared" si="207"/>
        <v>436</v>
      </c>
      <c r="S136" s="1">
        <f t="shared" si="208"/>
        <v>447.5</v>
      </c>
      <c r="T136" s="1">
        <f t="shared" si="185"/>
        <v>0</v>
      </c>
      <c r="U136" s="1">
        <f t="shared" si="209"/>
        <v>194.2</v>
      </c>
      <c r="V136" s="1">
        <f t="shared" si="199"/>
        <v>194.2</v>
      </c>
      <c r="W136" s="1">
        <f t="shared" si="200"/>
        <v>0</v>
      </c>
      <c r="X136" s="1">
        <f>IF(ISNA(VLOOKUP($CZ136,'Audit Values'!$A$2:$AE$439,2,FALSE)),'Preliminary SO66'!D133,VLOOKUP($CZ136,'Audit Values'!$A$2:$AE$439,4,FALSE))</f>
        <v>80.599999999999994</v>
      </c>
      <c r="Y136" s="1">
        <f>ROUND((X136/6)*Weightings!$M$6,1)</f>
        <v>6.7</v>
      </c>
      <c r="Z136" s="1">
        <f>IF(ISNA(VLOOKUP($CZ136,'Audit Values'!$A$2:$AE$439,2,FALSE)),'Preliminary SO66'!F133,VLOOKUP($CZ136,'Audit Values'!$A$2:$AE$439,6,FALSE))</f>
        <v>0</v>
      </c>
      <c r="AA136" s="1">
        <f>ROUND((Z136/6)*Weightings!$M$7,1)</f>
        <v>0</v>
      </c>
      <c r="AB136" s="2">
        <f>IF(ISNA(VLOOKUP($CZ136,'Audit Values'!$A$2:$AE$439,2,FALSE)),'Preliminary SO66'!H133,VLOOKUP($CZ136,'Audit Values'!$A$2:$AE$439,8,FALSE))</f>
        <v>134</v>
      </c>
      <c r="AC136" s="1">
        <f>ROUND(AB136*Weightings!$M$8,1)</f>
        <v>61.1</v>
      </c>
      <c r="AD136" s="1">
        <f t="shared" si="197"/>
        <v>0</v>
      </c>
      <c r="AE136" s="185">
        <v>33</v>
      </c>
      <c r="AF136" s="1">
        <f>AE136*Weightings!$M$9</f>
        <v>1.5</v>
      </c>
      <c r="AG136" s="1">
        <f>IF(ISNA(VLOOKUP($CZ136,'Audit Values'!$A$2:$AE$439,2,FALSE)),'Preliminary SO66'!L133,VLOOKUP($CZ136,'Audit Values'!$A$2:$AE$439,12,FALSE))</f>
        <v>0</v>
      </c>
      <c r="AH136" s="1">
        <f>ROUND(AG136*Weightings!$M$10,1)</f>
        <v>0</v>
      </c>
      <c r="AI136" s="1">
        <f>IF(ISNA(VLOOKUP($CZ136,'Audit Values'!$A$2:$AE$439,2,FALSE)),'Preliminary SO66'!O133,VLOOKUP($CZ136,'Audit Values'!$A$2:$AE$439,15,FALSE))</f>
        <v>224</v>
      </c>
      <c r="AJ136" s="1">
        <f t="shared" si="210"/>
        <v>50.2</v>
      </c>
      <c r="AK136" s="1">
        <f>CC136/Weightings!$M$5</f>
        <v>0</v>
      </c>
      <c r="AL136" s="1">
        <f>CD136/Weightings!$M$5</f>
        <v>0</v>
      </c>
      <c r="AM136" s="1">
        <f>CH136/Weightings!$M$5</f>
        <v>0</v>
      </c>
      <c r="AN136" s="1">
        <f t="shared" si="211"/>
        <v>0</v>
      </c>
      <c r="AO136" s="1">
        <f>IF(ISNA(VLOOKUP($CZ136,'Audit Values'!$A$2:$AE$439,2,FALSE)),'Preliminary SO66'!X133,VLOOKUP($CZ136,'Audit Values'!$A$2:$AE$439,24,FALSE))</f>
        <v>0</v>
      </c>
      <c r="AP136" s="188">
        <v>612897</v>
      </c>
      <c r="AQ136" s="113">
        <f>AP136/Weightings!$M$5</f>
        <v>159.69999999999999</v>
      </c>
      <c r="AR136" s="113">
        <f t="shared" si="212"/>
        <v>761.2</v>
      </c>
      <c r="AS136" s="1">
        <f t="shared" si="213"/>
        <v>920.9</v>
      </c>
      <c r="AT136" s="1">
        <f t="shared" si="214"/>
        <v>920.9</v>
      </c>
      <c r="AU136" s="2">
        <f t="shared" si="231"/>
        <v>0</v>
      </c>
      <c r="AV136" s="82">
        <f>IF(ISNA(VLOOKUP($CZ136,'Audit Values'!$A$2:$AC$360,2,FALSE)),"",IF(AND(Weightings!H136&gt;0,VLOOKUP($CZ136,'Audit Values'!$A$2:$AC$360,29,FALSE)&lt;Weightings!H136),Weightings!H136,VLOOKUP($CZ136,'Audit Values'!$A$2:$AC$360,29,FALSE)))</f>
        <v>1</v>
      </c>
      <c r="AW136" s="82" t="str">
        <f>IF(ISNA(VLOOKUP($CZ136,'Audit Values'!$A$2:$AD$360,2,FALSE)),"",VLOOKUP($CZ136,'Audit Values'!$A$2:$AD$360,30,FALSE))</f>
        <v>A</v>
      </c>
      <c r="AX136" s="82" t="str">
        <f>IF(Weightings!G136="","",IF(Weightings!I136="Pending","PX","R"))</f>
        <v/>
      </c>
      <c r="AY136" s="114">
        <f>AR136*Weightings!$M$5+AU136</f>
        <v>2921486</v>
      </c>
      <c r="AZ136" s="2">
        <f>AT136*Weightings!$M$5+AU136</f>
        <v>3534414</v>
      </c>
      <c r="BA136" s="2">
        <f>IF(Weightings!G136&gt;0,Weightings!G136,'Preliminary SO66'!AB133)</f>
        <v>3598125</v>
      </c>
      <c r="BB136" s="2">
        <f t="shared" si="215"/>
        <v>3534414</v>
      </c>
      <c r="BC136" s="124"/>
      <c r="BD136" s="124">
        <f>Weightings!E136</f>
        <v>0</v>
      </c>
      <c r="BE136" s="124">
        <f>Weightings!F136</f>
        <v>0</v>
      </c>
      <c r="BF136" s="2">
        <f t="shared" si="216"/>
        <v>0</v>
      </c>
      <c r="BG136" s="2">
        <f t="shared" si="217"/>
        <v>3534414</v>
      </c>
      <c r="BH136" s="2">
        <f>MAX(ROUND(((AR136-AO136)*4433)+AP136,0),ROUND(((AR136-AO136)*4433)+Weightings!B136,0))</f>
        <v>3987297</v>
      </c>
      <c r="BI136" s="174">
        <v>0.3</v>
      </c>
      <c r="BJ136" s="2">
        <f t="shared" si="191"/>
        <v>1196189</v>
      </c>
      <c r="BK136" s="173">
        <v>1215885</v>
      </c>
      <c r="BL136" s="2">
        <f t="shared" si="194"/>
        <v>1196189</v>
      </c>
      <c r="BM136" s="3">
        <f t="shared" si="232"/>
        <v>0.3</v>
      </c>
      <c r="BN136" s="1">
        <f t="shared" si="218"/>
        <v>0</v>
      </c>
      <c r="BO136" s="4" t="b">
        <f t="shared" si="219"/>
        <v>0</v>
      </c>
      <c r="BP136" s="5">
        <f t="shared" si="220"/>
        <v>0</v>
      </c>
      <c r="BQ136" s="6">
        <f t="shared" si="195"/>
        <v>0</v>
      </c>
      <c r="BR136" s="4">
        <f t="shared" si="221"/>
        <v>0</v>
      </c>
      <c r="BS136" s="4" t="b">
        <f t="shared" si="222"/>
        <v>1</v>
      </c>
      <c r="BT136" s="4">
        <f t="shared" si="223"/>
        <v>182.53129999999999</v>
      </c>
      <c r="BU136" s="6">
        <f t="shared" si="196"/>
        <v>0.43407299999999999</v>
      </c>
      <c r="BV136" s="1">
        <f t="shared" si="224"/>
        <v>194.2</v>
      </c>
      <c r="BW136" s="1">
        <f t="shared" si="225"/>
        <v>0</v>
      </c>
      <c r="BX136" s="116">
        <v>114</v>
      </c>
      <c r="BY136" s="7">
        <f t="shared" si="233"/>
        <v>1.96</v>
      </c>
      <c r="BZ136" s="7">
        <f>IF(ROUND((Weightings!$P$5*BY136^Weightings!$P$6*Weightings!$P$8 ),2)&lt;Weightings!$P$7,Weightings!$P$7,ROUND((Weightings!$P$5*BY136^Weightings!$P$6*Weightings!$P$8 ),2))</f>
        <v>859.63</v>
      </c>
      <c r="CA136" s="8">
        <f>ROUND(BZ136/Weightings!$M$5,4)</f>
        <v>0.224</v>
      </c>
      <c r="CB136" s="1">
        <f t="shared" si="234"/>
        <v>50.2</v>
      </c>
      <c r="CC136" s="173">
        <v>0</v>
      </c>
      <c r="CD136" s="173">
        <v>0</v>
      </c>
      <c r="CE136" s="173">
        <v>0</v>
      </c>
      <c r="CF136" s="177">
        <v>0</v>
      </c>
      <c r="CG136" s="2">
        <f>AS136*Weightings!$M$5*CF136</f>
        <v>0</v>
      </c>
      <c r="CH136" s="2">
        <f t="shared" si="198"/>
        <v>0</v>
      </c>
      <c r="CI136" s="117">
        <f t="shared" si="226"/>
        <v>0.29899999999999999</v>
      </c>
      <c r="CJ136" s="4">
        <f t="shared" si="227"/>
        <v>3.9</v>
      </c>
      <c r="CK136" s="1">
        <f t="shared" si="235"/>
        <v>0</v>
      </c>
      <c r="CL136" s="1">
        <f t="shared" si="236"/>
        <v>0</v>
      </c>
      <c r="CM136" s="1">
        <f t="shared" si="237"/>
        <v>0</v>
      </c>
      <c r="CN136" s="1">
        <f>IF(ISNA(VLOOKUP($CZ136,'Audit Values'!$A$2:$AE$439,2,FALSE)),'Preliminary SO66'!T133,VLOOKUP($CZ136,'Audit Values'!$A$2:$AE$439,20,FALSE))</f>
        <v>0</v>
      </c>
      <c r="CO136" s="1">
        <f t="shared" si="228"/>
        <v>0</v>
      </c>
      <c r="CP136" s="183">
        <v>0</v>
      </c>
      <c r="CQ136" s="1">
        <f t="shared" si="229"/>
        <v>0</v>
      </c>
      <c r="CR136" s="2">
        <f>IF(ISNA(VLOOKUP($CZ136,'Audit Values'!$A$2:$AE$439,2,FALSE)),'Preliminary SO66'!V133,VLOOKUP($CZ136,'Audit Values'!$A$2:$AE$439,22,FALSE))</f>
        <v>0</v>
      </c>
      <c r="CS136" s="1">
        <f t="shared" si="230"/>
        <v>0</v>
      </c>
      <c r="CT136" s="2">
        <f>IF(ISNA(VLOOKUP($CZ136,'Audit Values'!$A$2:$AE$439,2,FALSE)),'Preliminary SO66'!W133,VLOOKUP($CZ136,'Audit Values'!$A$2:$AE$439,23,FALSE))</f>
        <v>0</v>
      </c>
      <c r="CU136" s="1">
        <f t="shared" si="192"/>
        <v>0</v>
      </c>
      <c r="CV136" s="1">
        <f t="shared" si="193"/>
        <v>0</v>
      </c>
      <c r="CW136" s="176">
        <v>0</v>
      </c>
      <c r="CX136" s="2">
        <f>IF(CW136&gt;0,Weightings!$M$11*AR136,0)</f>
        <v>0</v>
      </c>
      <c r="CY136" s="2">
        <f t="shared" si="238"/>
        <v>0</v>
      </c>
      <c r="CZ136" s="108" t="s">
        <v>428</v>
      </c>
    </row>
    <row r="137" spans="1:104">
      <c r="A137" s="82">
        <v>340</v>
      </c>
      <c r="B137" s="4" t="s">
        <v>61</v>
      </c>
      <c r="C137" s="4" t="s">
        <v>764</v>
      </c>
      <c r="D137" s="1">
        <v>850.1</v>
      </c>
      <c r="E137" s="1">
        <v>0</v>
      </c>
      <c r="F137" s="1">
        <f t="shared" si="187"/>
        <v>850.1</v>
      </c>
      <c r="G137" s="1">
        <v>858.6</v>
      </c>
      <c r="H137" s="1">
        <v>0</v>
      </c>
      <c r="I137" s="1">
        <f t="shared" si="201"/>
        <v>858.6</v>
      </c>
      <c r="J137" s="1">
        <f t="shared" si="202"/>
        <v>854.8</v>
      </c>
      <c r="K137" s="1">
        <f>IF(ISNA(VLOOKUP($CZ137,'Audit Values'!$A$2:$AE$439,2,FALSE)),'Preliminary SO66'!B134,VLOOKUP($CZ137,'Audit Values'!$A$2:$AE$439,31,FALSE))</f>
        <v>854.8</v>
      </c>
      <c r="L137" s="1">
        <f t="shared" si="203"/>
        <v>858.6</v>
      </c>
      <c r="M137" s="1">
        <f>IF(ISNA(VLOOKUP($CZ137,'Audit Values'!$A$2:$AE$439,2,FALSE)),'Preliminary SO66'!Z134,VLOOKUP($CZ137,'Audit Values'!$A$2:$AE$439,26,FALSE))</f>
        <v>0</v>
      </c>
      <c r="N137" s="1">
        <f t="shared" si="204"/>
        <v>858.6</v>
      </c>
      <c r="O137" s="1">
        <f>IF(ISNA(VLOOKUP($CZ137,'Audit Values'!$A$2:$AE$439,2,FALSE)),'Preliminary SO66'!C134,IF(VLOOKUP($CZ137,'Audit Values'!$A$2:$AE$439,28,FALSE)="",VLOOKUP($CZ137,'Audit Values'!$A$2:$AE$439,3,FALSE),VLOOKUP($CZ137,'Audit Values'!$A$2:$AE$439,28,FALSE)))</f>
        <v>0</v>
      </c>
      <c r="P137" s="109">
        <f t="shared" si="205"/>
        <v>854.8</v>
      </c>
      <c r="Q137" s="110">
        <f t="shared" si="206"/>
        <v>854.8</v>
      </c>
      <c r="R137" s="111">
        <f t="shared" si="207"/>
        <v>854.8</v>
      </c>
      <c r="S137" s="1">
        <f t="shared" si="208"/>
        <v>858.6</v>
      </c>
      <c r="T137" s="1">
        <f t="shared" si="185"/>
        <v>0</v>
      </c>
      <c r="U137" s="1">
        <f t="shared" si="209"/>
        <v>252.8</v>
      </c>
      <c r="V137" s="1">
        <f t="shared" si="199"/>
        <v>252.8</v>
      </c>
      <c r="W137" s="1">
        <f t="shared" si="200"/>
        <v>0</v>
      </c>
      <c r="X137" s="1">
        <f>IF(ISNA(VLOOKUP($CZ137,'Audit Values'!$A$2:$AE$439,2,FALSE)),'Preliminary SO66'!D134,VLOOKUP($CZ137,'Audit Values'!$A$2:$AE$439,4,FALSE))</f>
        <v>248.2</v>
      </c>
      <c r="Y137" s="1">
        <f>ROUND((X137/6)*Weightings!$M$6,1)</f>
        <v>20.7</v>
      </c>
      <c r="Z137" s="1">
        <f>IF(ISNA(VLOOKUP($CZ137,'Audit Values'!$A$2:$AE$439,2,FALSE)),'Preliminary SO66'!F134,VLOOKUP($CZ137,'Audit Values'!$A$2:$AE$439,6,FALSE))</f>
        <v>0</v>
      </c>
      <c r="AA137" s="1">
        <f>ROUND((Z137/6)*Weightings!$M$7,1)</f>
        <v>0</v>
      </c>
      <c r="AB137" s="2">
        <f>IF(ISNA(VLOOKUP($CZ137,'Audit Values'!$A$2:$AE$439,2,FALSE)),'Preliminary SO66'!H134,VLOOKUP($CZ137,'Audit Values'!$A$2:$AE$439,8,FALSE))</f>
        <v>205</v>
      </c>
      <c r="AC137" s="1">
        <f>ROUND(AB137*Weightings!$M$8,1)</f>
        <v>93.5</v>
      </c>
      <c r="AD137" s="1">
        <f t="shared" si="197"/>
        <v>0</v>
      </c>
      <c r="AE137" s="185">
        <v>66</v>
      </c>
      <c r="AF137" s="1">
        <f>AE137*Weightings!$M$9</f>
        <v>3.1</v>
      </c>
      <c r="AG137" s="1">
        <f>IF(ISNA(VLOOKUP($CZ137,'Audit Values'!$A$2:$AE$439,2,FALSE)),'Preliminary SO66'!L134,VLOOKUP($CZ137,'Audit Values'!$A$2:$AE$439,12,FALSE))</f>
        <v>0</v>
      </c>
      <c r="AH137" s="1">
        <f>ROUND(AG137*Weightings!$M$10,1)</f>
        <v>0</v>
      </c>
      <c r="AI137" s="1">
        <f>IF(ISNA(VLOOKUP($CZ137,'Audit Values'!$A$2:$AE$439,2,FALSE)),'Preliminary SO66'!O134,VLOOKUP($CZ137,'Audit Values'!$A$2:$AE$439,15,FALSE))</f>
        <v>516</v>
      </c>
      <c r="AJ137" s="1">
        <f t="shared" si="210"/>
        <v>84.9</v>
      </c>
      <c r="AK137" s="1">
        <f>CC137/Weightings!$M$5</f>
        <v>0</v>
      </c>
      <c r="AL137" s="1">
        <f>CD137/Weightings!$M$5</f>
        <v>0</v>
      </c>
      <c r="AM137" s="1">
        <f>CH137/Weightings!$M$5</f>
        <v>0</v>
      </c>
      <c r="AN137" s="1">
        <f t="shared" si="211"/>
        <v>0</v>
      </c>
      <c r="AO137" s="1">
        <f>IF(ISNA(VLOOKUP($CZ137,'Audit Values'!$A$2:$AE$439,2,FALSE)),'Preliminary SO66'!X134,VLOOKUP($CZ137,'Audit Values'!$A$2:$AE$439,24,FALSE))</f>
        <v>0</v>
      </c>
      <c r="AP137" s="188">
        <v>950328</v>
      </c>
      <c r="AQ137" s="113">
        <f>AP137/Weightings!$M$5</f>
        <v>247.6</v>
      </c>
      <c r="AR137" s="113">
        <f t="shared" si="212"/>
        <v>1313.6</v>
      </c>
      <c r="AS137" s="1">
        <f t="shared" si="213"/>
        <v>1561.2</v>
      </c>
      <c r="AT137" s="1">
        <f t="shared" si="214"/>
        <v>1561.2</v>
      </c>
      <c r="AU137" s="2">
        <f t="shared" si="231"/>
        <v>0</v>
      </c>
      <c r="AV137" s="82">
        <f>IF(ISNA(VLOOKUP($CZ137,'Audit Values'!$A$2:$AC$360,2,FALSE)),"",IF(AND(Weightings!H137&gt;0,VLOOKUP($CZ137,'Audit Values'!$A$2:$AC$360,29,FALSE)&lt;Weightings!H137),Weightings!H137,VLOOKUP($CZ137,'Audit Values'!$A$2:$AC$360,29,FALSE)))</f>
        <v>2</v>
      </c>
      <c r="AW137" s="82" t="str">
        <f>IF(ISNA(VLOOKUP($CZ137,'Audit Values'!$A$2:$AD$360,2,FALSE)),"",VLOOKUP($CZ137,'Audit Values'!$A$2:$AD$360,30,FALSE))</f>
        <v>A</v>
      </c>
      <c r="AX137" s="82" t="str">
        <f>IF(Weightings!G137="","",IF(Weightings!I137="Pending","PX","R"))</f>
        <v/>
      </c>
      <c r="AY137" s="114">
        <f>AR137*Weightings!$M$5+AU137</f>
        <v>5041597</v>
      </c>
      <c r="AZ137" s="2">
        <f>AT137*Weightings!$M$5+AU137</f>
        <v>5991886</v>
      </c>
      <c r="BA137" s="2">
        <f>IF(Weightings!G137&gt;0,Weightings!G137,'Preliminary SO66'!AB134)</f>
        <v>6030266</v>
      </c>
      <c r="BB137" s="2">
        <f t="shared" si="215"/>
        <v>5991886</v>
      </c>
      <c r="BC137" s="124"/>
      <c r="BD137" s="124">
        <f>Weightings!E137</f>
        <v>0</v>
      </c>
      <c r="BE137" s="124">
        <f>Weightings!F137</f>
        <v>0</v>
      </c>
      <c r="BF137" s="2">
        <f t="shared" si="216"/>
        <v>0</v>
      </c>
      <c r="BG137" s="2">
        <f t="shared" si="217"/>
        <v>5991886</v>
      </c>
      <c r="BH137" s="2">
        <f>MAX(ROUND(((AR137-AO137)*4433)+AP137,0),ROUND(((AR137-AO137)*4433)+Weightings!B137,0))</f>
        <v>6773517</v>
      </c>
      <c r="BI137" s="174">
        <v>0.3</v>
      </c>
      <c r="BJ137" s="2">
        <f t="shared" si="191"/>
        <v>2032055</v>
      </c>
      <c r="BK137" s="173">
        <v>2041787</v>
      </c>
      <c r="BL137" s="2">
        <f t="shared" si="194"/>
        <v>2032055</v>
      </c>
      <c r="BM137" s="3">
        <f t="shared" si="232"/>
        <v>0.3</v>
      </c>
      <c r="BN137" s="1">
        <f t="shared" si="218"/>
        <v>0</v>
      </c>
      <c r="BO137" s="4" t="b">
        <f t="shared" si="219"/>
        <v>0</v>
      </c>
      <c r="BP137" s="5">
        <f t="shared" si="220"/>
        <v>0</v>
      </c>
      <c r="BQ137" s="6">
        <f t="shared" si="195"/>
        <v>0</v>
      </c>
      <c r="BR137" s="4">
        <f t="shared" si="221"/>
        <v>0</v>
      </c>
      <c r="BS137" s="4" t="b">
        <f t="shared" si="222"/>
        <v>1</v>
      </c>
      <c r="BT137" s="4">
        <f t="shared" si="223"/>
        <v>691.26750000000004</v>
      </c>
      <c r="BU137" s="6">
        <f t="shared" si="196"/>
        <v>0.29440300000000003</v>
      </c>
      <c r="BV137" s="1">
        <f t="shared" si="224"/>
        <v>252.8</v>
      </c>
      <c r="BW137" s="1">
        <f t="shared" si="225"/>
        <v>0</v>
      </c>
      <c r="BX137" s="116">
        <v>68</v>
      </c>
      <c r="BY137" s="7">
        <f t="shared" si="233"/>
        <v>7.59</v>
      </c>
      <c r="BZ137" s="7">
        <f>IF(ROUND((Weightings!$P$5*BY137^Weightings!$P$6*Weightings!$P$8 ),2)&lt;Weightings!$P$7,Weightings!$P$7,ROUND((Weightings!$P$5*BY137^Weightings!$P$6*Weightings!$P$8 ),2))</f>
        <v>631.23</v>
      </c>
      <c r="CA137" s="8">
        <f>ROUND(BZ137/Weightings!$M$5,4)</f>
        <v>0.16450000000000001</v>
      </c>
      <c r="CB137" s="1">
        <f t="shared" si="234"/>
        <v>84.9</v>
      </c>
      <c r="CC137" s="173">
        <v>0</v>
      </c>
      <c r="CD137" s="173">
        <v>0</v>
      </c>
      <c r="CE137" s="173">
        <v>0</v>
      </c>
      <c r="CF137" s="177">
        <v>0</v>
      </c>
      <c r="CG137" s="2">
        <f>AS137*Weightings!$M$5*CF137</f>
        <v>0</v>
      </c>
      <c r="CH137" s="2">
        <f t="shared" si="198"/>
        <v>0</v>
      </c>
      <c r="CI137" s="117">
        <f t="shared" si="226"/>
        <v>0.23899999999999999</v>
      </c>
      <c r="CJ137" s="4">
        <f t="shared" si="227"/>
        <v>12.6</v>
      </c>
      <c r="CK137" s="1">
        <f t="shared" si="235"/>
        <v>0</v>
      </c>
      <c r="CL137" s="1">
        <f t="shared" si="236"/>
        <v>0</v>
      </c>
      <c r="CM137" s="1">
        <f t="shared" si="237"/>
        <v>0</v>
      </c>
      <c r="CN137" s="1">
        <f>IF(ISNA(VLOOKUP($CZ137,'Audit Values'!$A$2:$AE$439,2,FALSE)),'Preliminary SO66'!T134,VLOOKUP($CZ137,'Audit Values'!$A$2:$AE$439,20,FALSE))</f>
        <v>0</v>
      </c>
      <c r="CO137" s="1">
        <f t="shared" si="228"/>
        <v>0</v>
      </c>
      <c r="CP137" s="183">
        <v>0</v>
      </c>
      <c r="CQ137" s="1">
        <f t="shared" si="229"/>
        <v>0</v>
      </c>
      <c r="CR137" s="2">
        <f>IF(ISNA(VLOOKUP($CZ137,'Audit Values'!$A$2:$AE$439,2,FALSE)),'Preliminary SO66'!V134,VLOOKUP($CZ137,'Audit Values'!$A$2:$AE$439,22,FALSE))</f>
        <v>0</v>
      </c>
      <c r="CS137" s="1">
        <f t="shared" si="230"/>
        <v>0</v>
      </c>
      <c r="CT137" s="2">
        <f>IF(ISNA(VLOOKUP($CZ137,'Audit Values'!$A$2:$AE$439,2,FALSE)),'Preliminary SO66'!W134,VLOOKUP($CZ137,'Audit Values'!$A$2:$AE$439,23,FALSE))</f>
        <v>0</v>
      </c>
      <c r="CU137" s="1">
        <f t="shared" si="192"/>
        <v>0</v>
      </c>
      <c r="CV137" s="1">
        <f t="shared" si="193"/>
        <v>0</v>
      </c>
      <c r="CW137" s="176">
        <v>0</v>
      </c>
      <c r="CX137" s="2">
        <f>IF(CW137&gt;0,Weightings!$M$11*AR137,0)</f>
        <v>0</v>
      </c>
      <c r="CY137" s="2">
        <f t="shared" si="238"/>
        <v>0</v>
      </c>
      <c r="CZ137" s="108" t="s">
        <v>429</v>
      </c>
    </row>
    <row r="138" spans="1:104">
      <c r="A138" s="82">
        <v>341</v>
      </c>
      <c r="B138" s="4" t="s">
        <v>61</v>
      </c>
      <c r="C138" s="4" t="s">
        <v>765</v>
      </c>
      <c r="D138" s="1">
        <v>493.5</v>
      </c>
      <c r="E138" s="1">
        <v>0</v>
      </c>
      <c r="F138" s="1">
        <f t="shared" si="187"/>
        <v>493.5</v>
      </c>
      <c r="G138" s="1">
        <v>492.5</v>
      </c>
      <c r="H138" s="1">
        <v>0</v>
      </c>
      <c r="I138" s="1">
        <f t="shared" si="201"/>
        <v>492.5</v>
      </c>
      <c r="J138" s="1">
        <f t="shared" si="202"/>
        <v>518.5</v>
      </c>
      <c r="K138" s="1">
        <f>IF(ISNA(VLOOKUP($CZ138,'Audit Values'!$A$2:$AE$439,2,FALSE)),'Preliminary SO66'!B135,VLOOKUP($CZ138,'Audit Values'!$A$2:$AE$439,31,FALSE))</f>
        <v>517.5</v>
      </c>
      <c r="L138" s="1">
        <f t="shared" si="203"/>
        <v>517.5</v>
      </c>
      <c r="M138" s="1">
        <f>IF(ISNA(VLOOKUP($CZ138,'Audit Values'!$A$2:$AE$439,2,FALSE)),'Preliminary SO66'!Z135,VLOOKUP($CZ138,'Audit Values'!$A$2:$AE$439,26,FALSE))</f>
        <v>0</v>
      </c>
      <c r="N138" s="1">
        <f t="shared" si="204"/>
        <v>517.5</v>
      </c>
      <c r="O138" s="1">
        <f>IF(ISNA(VLOOKUP($CZ138,'Audit Values'!$A$2:$AE$439,2,FALSE)),'Preliminary SO66'!C135,IF(VLOOKUP($CZ138,'Audit Values'!$A$2:$AE$439,28,FALSE)="",VLOOKUP($CZ138,'Audit Values'!$A$2:$AE$439,3,FALSE),VLOOKUP($CZ138,'Audit Values'!$A$2:$AE$439,28,FALSE)))</f>
        <v>11.5</v>
      </c>
      <c r="P138" s="109">
        <f t="shared" si="205"/>
        <v>529</v>
      </c>
      <c r="Q138" s="110">
        <f t="shared" si="206"/>
        <v>530</v>
      </c>
      <c r="R138" s="111">
        <f t="shared" si="207"/>
        <v>530</v>
      </c>
      <c r="S138" s="1">
        <f t="shared" si="208"/>
        <v>529</v>
      </c>
      <c r="T138" s="1">
        <f t="shared" si="185"/>
        <v>1</v>
      </c>
      <c r="U138" s="1">
        <f t="shared" si="209"/>
        <v>215</v>
      </c>
      <c r="V138" s="1">
        <f t="shared" si="199"/>
        <v>215</v>
      </c>
      <c r="W138" s="1">
        <f t="shared" si="200"/>
        <v>0</v>
      </c>
      <c r="X138" s="1">
        <f>IF(ISNA(VLOOKUP($CZ138,'Audit Values'!$A$2:$AE$439,2,FALSE)),'Preliminary SO66'!D135,VLOOKUP($CZ138,'Audit Values'!$A$2:$AE$439,4,FALSE))</f>
        <v>61.5</v>
      </c>
      <c r="Y138" s="1">
        <f>ROUND((X138/6)*Weightings!$M$6,1)</f>
        <v>5.0999999999999996</v>
      </c>
      <c r="Z138" s="1">
        <f>IF(ISNA(VLOOKUP($CZ138,'Audit Values'!$A$2:$AE$439,2,FALSE)),'Preliminary SO66'!F135,VLOOKUP($CZ138,'Audit Values'!$A$2:$AE$439,6,FALSE))</f>
        <v>0</v>
      </c>
      <c r="AA138" s="1">
        <f>ROUND((Z138/6)*Weightings!$M$7,1)</f>
        <v>0</v>
      </c>
      <c r="AB138" s="2">
        <f>IF(ISNA(VLOOKUP($CZ138,'Audit Values'!$A$2:$AE$439,2,FALSE)),'Preliminary SO66'!H135,VLOOKUP($CZ138,'Audit Values'!$A$2:$AE$439,8,FALSE))</f>
        <v>277</v>
      </c>
      <c r="AC138" s="1">
        <f>ROUND(AB138*Weightings!$M$8,1)</f>
        <v>126.3</v>
      </c>
      <c r="AD138" s="1">
        <f t="shared" si="197"/>
        <v>29.1</v>
      </c>
      <c r="AE138" s="185">
        <v>43</v>
      </c>
      <c r="AF138" s="1">
        <f>AE138*Weightings!$M$9</f>
        <v>2</v>
      </c>
      <c r="AG138" s="1">
        <f>IF(ISNA(VLOOKUP($CZ138,'Audit Values'!$A$2:$AE$439,2,FALSE)),'Preliminary SO66'!L135,VLOOKUP($CZ138,'Audit Values'!$A$2:$AE$439,12,FALSE))</f>
        <v>0</v>
      </c>
      <c r="AH138" s="1">
        <f>ROUND(AG138*Weightings!$M$10,1)</f>
        <v>0</v>
      </c>
      <c r="AI138" s="1">
        <f>IF(ISNA(VLOOKUP($CZ138,'Audit Values'!$A$2:$AE$439,2,FALSE)),'Preliminary SO66'!O135,VLOOKUP($CZ138,'Audit Values'!$A$2:$AE$439,15,FALSE))</f>
        <v>311</v>
      </c>
      <c r="AJ138" s="1">
        <f t="shared" si="210"/>
        <v>62.2</v>
      </c>
      <c r="AK138" s="1">
        <f>CC138/Weightings!$M$5</f>
        <v>0</v>
      </c>
      <c r="AL138" s="1">
        <f>CD138/Weightings!$M$5</f>
        <v>0</v>
      </c>
      <c r="AM138" s="1">
        <f>CH138/Weightings!$M$5</f>
        <v>0</v>
      </c>
      <c r="AN138" s="1">
        <f t="shared" si="211"/>
        <v>1.1000000000000001</v>
      </c>
      <c r="AO138" s="1">
        <f>IF(ISNA(VLOOKUP($CZ138,'Audit Values'!$A$2:$AE$439,2,FALSE)),'Preliminary SO66'!X135,VLOOKUP($CZ138,'Audit Values'!$A$2:$AE$439,24,FALSE))</f>
        <v>0</v>
      </c>
      <c r="AP138" s="188">
        <v>893443</v>
      </c>
      <c r="AQ138" s="113">
        <f>AP138/Weightings!$M$5</f>
        <v>232.8</v>
      </c>
      <c r="AR138" s="113">
        <f t="shared" si="212"/>
        <v>969.8</v>
      </c>
      <c r="AS138" s="1">
        <f t="shared" si="213"/>
        <v>1202.5999999999999</v>
      </c>
      <c r="AT138" s="1">
        <f t="shared" si="214"/>
        <v>1202.5999999999999</v>
      </c>
      <c r="AU138" s="2">
        <f t="shared" si="231"/>
        <v>0</v>
      </c>
      <c r="AV138" s="82">
        <f>IF(ISNA(VLOOKUP($CZ138,'Audit Values'!$A$2:$AC$360,2,FALSE)),"",IF(AND(Weightings!H138&gt;0,VLOOKUP($CZ138,'Audit Values'!$A$2:$AC$360,29,FALSE)&lt;Weightings!H138),Weightings!H138,VLOOKUP($CZ138,'Audit Values'!$A$2:$AC$360,29,FALSE)))</f>
        <v>11</v>
      </c>
      <c r="AW138" s="82" t="str">
        <f>IF(ISNA(VLOOKUP($CZ138,'Audit Values'!$A$2:$AD$360,2,FALSE)),"",VLOOKUP($CZ138,'Audit Values'!$A$2:$AD$360,30,FALSE))</f>
        <v>A</v>
      </c>
      <c r="AX138" s="82" t="str">
        <f>IF(Weightings!G138="","",IF(Weightings!I138="Pending","PX","R"))</f>
        <v>R</v>
      </c>
      <c r="AY138" s="114">
        <f>AR138*Weightings!$M$5+AU138</f>
        <v>3722092</v>
      </c>
      <c r="AZ138" s="2">
        <f>AT138*Weightings!$M$5+AU138</f>
        <v>4615579</v>
      </c>
      <c r="BA138" s="2">
        <f>IF(Weightings!G138&gt;0,Weightings!G138,'Preliminary SO66'!AB135)</f>
        <v>4637839</v>
      </c>
      <c r="BB138" s="2">
        <f t="shared" si="215"/>
        <v>4615579</v>
      </c>
      <c r="BC138" s="124"/>
      <c r="BD138" s="124">
        <f>Weightings!E138</f>
        <v>-788</v>
      </c>
      <c r="BE138" s="124">
        <f>Weightings!F138</f>
        <v>0</v>
      </c>
      <c r="BF138" s="2">
        <f t="shared" si="216"/>
        <v>-788</v>
      </c>
      <c r="BG138" s="2">
        <f t="shared" si="217"/>
        <v>4614791</v>
      </c>
      <c r="BH138" s="2">
        <f>MAX(ROUND(((AR138-AO138)*4433)+AP138,0),ROUND(((AR138-AO138)*4433)+Weightings!B138,0))</f>
        <v>5192566</v>
      </c>
      <c r="BI138" s="174">
        <v>0.3</v>
      </c>
      <c r="BJ138" s="2">
        <f t="shared" si="191"/>
        <v>1557770</v>
      </c>
      <c r="BK138" s="173">
        <v>1400000</v>
      </c>
      <c r="BL138" s="2">
        <f t="shared" si="194"/>
        <v>1400000</v>
      </c>
      <c r="BM138" s="3">
        <f t="shared" si="232"/>
        <v>0.26960000000000001</v>
      </c>
      <c r="BN138" s="1">
        <f t="shared" si="218"/>
        <v>0</v>
      </c>
      <c r="BO138" s="4" t="b">
        <f t="shared" si="219"/>
        <v>0</v>
      </c>
      <c r="BP138" s="5">
        <f t="shared" si="220"/>
        <v>0</v>
      </c>
      <c r="BQ138" s="6">
        <f t="shared" si="195"/>
        <v>0</v>
      </c>
      <c r="BR138" s="4">
        <f t="shared" si="221"/>
        <v>0</v>
      </c>
      <c r="BS138" s="4" t="b">
        <f t="shared" si="222"/>
        <v>1</v>
      </c>
      <c r="BT138" s="4">
        <f t="shared" si="223"/>
        <v>283.38749999999999</v>
      </c>
      <c r="BU138" s="6">
        <f t="shared" si="196"/>
        <v>0.40638400000000002</v>
      </c>
      <c r="BV138" s="1">
        <f t="shared" si="224"/>
        <v>215</v>
      </c>
      <c r="BW138" s="1">
        <f t="shared" si="225"/>
        <v>0</v>
      </c>
      <c r="BX138" s="116">
        <v>97</v>
      </c>
      <c r="BY138" s="7">
        <f t="shared" si="233"/>
        <v>3.21</v>
      </c>
      <c r="BZ138" s="7">
        <f>IF(ROUND((Weightings!$P$5*BY138^Weightings!$P$6*Weightings!$P$8 ),2)&lt;Weightings!$P$7,Weightings!$P$7,ROUND((Weightings!$P$5*BY138^Weightings!$P$6*Weightings!$P$8 ),2))</f>
        <v>768.14</v>
      </c>
      <c r="CA138" s="8">
        <f>ROUND(BZ138/Weightings!$M$5,4)</f>
        <v>0.2001</v>
      </c>
      <c r="CB138" s="1">
        <f t="shared" si="234"/>
        <v>62.2</v>
      </c>
      <c r="CC138" s="173">
        <v>0</v>
      </c>
      <c r="CD138" s="173">
        <v>0</v>
      </c>
      <c r="CE138" s="173">
        <v>0</v>
      </c>
      <c r="CF138" s="177">
        <v>0</v>
      </c>
      <c r="CG138" s="2">
        <f>AS138*Weightings!$M$5*CF138</f>
        <v>0</v>
      </c>
      <c r="CH138" s="2">
        <f t="shared" si="198"/>
        <v>0</v>
      </c>
      <c r="CI138" s="117">
        <f t="shared" si="226"/>
        <v>0.52400000000000002</v>
      </c>
      <c r="CJ138" s="4">
        <f t="shared" si="227"/>
        <v>5.5</v>
      </c>
      <c r="CK138" s="1">
        <f t="shared" si="235"/>
        <v>29.1</v>
      </c>
      <c r="CL138" s="1">
        <f t="shared" si="236"/>
        <v>0</v>
      </c>
      <c r="CM138" s="1">
        <f t="shared" si="237"/>
        <v>0</v>
      </c>
      <c r="CN138" s="1">
        <f>IF(ISNA(VLOOKUP($CZ138,'Audit Values'!$A$2:$AE$439,2,FALSE)),'Preliminary SO66'!T135,VLOOKUP($CZ138,'Audit Values'!$A$2:$AE$439,20,FALSE))</f>
        <v>1</v>
      </c>
      <c r="CO138" s="1">
        <f t="shared" si="228"/>
        <v>1.1000000000000001</v>
      </c>
      <c r="CP138" s="183">
        <v>0</v>
      </c>
      <c r="CQ138" s="1">
        <f t="shared" si="229"/>
        <v>0</v>
      </c>
      <c r="CR138" s="2">
        <f>IF(ISNA(VLOOKUP($CZ138,'Audit Values'!$A$2:$AE$439,2,FALSE)),'Preliminary SO66'!V135,VLOOKUP($CZ138,'Audit Values'!$A$2:$AE$439,22,FALSE))</f>
        <v>0</v>
      </c>
      <c r="CS138" s="1">
        <f t="shared" si="230"/>
        <v>0</v>
      </c>
      <c r="CT138" s="2">
        <f>IF(ISNA(VLOOKUP($CZ138,'Audit Values'!$A$2:$AE$439,2,FALSE)),'Preliminary SO66'!W135,VLOOKUP($CZ138,'Audit Values'!$A$2:$AE$439,23,FALSE))</f>
        <v>0</v>
      </c>
      <c r="CU138" s="1">
        <f t="shared" si="192"/>
        <v>0</v>
      </c>
      <c r="CV138" s="1">
        <f t="shared" si="193"/>
        <v>1.1000000000000001</v>
      </c>
      <c r="CW138" s="176">
        <v>0</v>
      </c>
      <c r="CX138" s="2">
        <f>IF(CW138&gt;0,Weightings!$M$11*AR138,0)</f>
        <v>0</v>
      </c>
      <c r="CY138" s="2">
        <f t="shared" si="238"/>
        <v>0</v>
      </c>
      <c r="CZ138" s="108" t="s">
        <v>430</v>
      </c>
    </row>
    <row r="139" spans="1:104">
      <c r="A139" s="82">
        <v>342</v>
      </c>
      <c r="B139" s="4" t="s">
        <v>61</v>
      </c>
      <c r="C139" s="4" t="s">
        <v>766</v>
      </c>
      <c r="D139" s="1">
        <v>488.7</v>
      </c>
      <c r="E139" s="1">
        <v>0</v>
      </c>
      <c r="F139" s="1">
        <f t="shared" si="187"/>
        <v>488.7</v>
      </c>
      <c r="G139" s="1">
        <v>485.5</v>
      </c>
      <c r="H139" s="1">
        <v>0</v>
      </c>
      <c r="I139" s="1">
        <f t="shared" si="201"/>
        <v>485.5</v>
      </c>
      <c r="J139" s="1">
        <f t="shared" si="202"/>
        <v>493.7</v>
      </c>
      <c r="K139" s="1">
        <f>IF(ISNA(VLOOKUP($CZ139,'Audit Values'!$A$2:$AE$439,2,FALSE)),'Preliminary SO66'!B136,VLOOKUP($CZ139,'Audit Values'!$A$2:$AE$439,31,FALSE))</f>
        <v>493.7</v>
      </c>
      <c r="L139" s="1">
        <f t="shared" si="203"/>
        <v>493.7</v>
      </c>
      <c r="M139" s="1">
        <f>IF(ISNA(VLOOKUP($CZ139,'Audit Values'!$A$2:$AE$439,2,FALSE)),'Preliminary SO66'!Z136,VLOOKUP($CZ139,'Audit Values'!$A$2:$AE$439,26,FALSE))</f>
        <v>0</v>
      </c>
      <c r="N139" s="1">
        <f t="shared" si="204"/>
        <v>493.7</v>
      </c>
      <c r="O139" s="1">
        <f>IF(ISNA(VLOOKUP($CZ139,'Audit Values'!$A$2:$AE$439,2,FALSE)),'Preliminary SO66'!C136,IF(VLOOKUP($CZ139,'Audit Values'!$A$2:$AE$439,28,FALSE)="",VLOOKUP($CZ139,'Audit Values'!$A$2:$AE$439,3,FALSE),VLOOKUP($CZ139,'Audit Values'!$A$2:$AE$439,28,FALSE)))</f>
        <v>12</v>
      </c>
      <c r="P139" s="109">
        <f t="shared" si="205"/>
        <v>505.7</v>
      </c>
      <c r="Q139" s="110">
        <f t="shared" si="206"/>
        <v>505.7</v>
      </c>
      <c r="R139" s="111">
        <f t="shared" si="207"/>
        <v>505.7</v>
      </c>
      <c r="S139" s="1">
        <f t="shared" si="208"/>
        <v>505.7</v>
      </c>
      <c r="T139" s="1">
        <f t="shared" si="185"/>
        <v>0</v>
      </c>
      <c r="U139" s="1">
        <f t="shared" si="209"/>
        <v>209.5</v>
      </c>
      <c r="V139" s="1">
        <f t="shared" si="199"/>
        <v>209.5</v>
      </c>
      <c r="W139" s="1">
        <f t="shared" si="200"/>
        <v>0</v>
      </c>
      <c r="X139" s="1">
        <f>IF(ISNA(VLOOKUP($CZ139,'Audit Values'!$A$2:$AE$439,2,FALSE)),'Preliminary SO66'!D136,VLOOKUP($CZ139,'Audit Values'!$A$2:$AE$439,4,FALSE))</f>
        <v>87.5</v>
      </c>
      <c r="Y139" s="1">
        <f>ROUND((X139/6)*Weightings!$M$6,1)</f>
        <v>7.3</v>
      </c>
      <c r="Z139" s="1">
        <f>IF(ISNA(VLOOKUP($CZ139,'Audit Values'!$A$2:$AE$439,2,FALSE)),'Preliminary SO66'!F136,VLOOKUP($CZ139,'Audit Values'!$A$2:$AE$439,6,FALSE))</f>
        <v>0</v>
      </c>
      <c r="AA139" s="1">
        <f>ROUND((Z139/6)*Weightings!$M$7,1)</f>
        <v>0</v>
      </c>
      <c r="AB139" s="2">
        <f>IF(ISNA(VLOOKUP($CZ139,'Audit Values'!$A$2:$AE$439,2,FALSE)),'Preliminary SO66'!H136,VLOOKUP($CZ139,'Audit Values'!$A$2:$AE$439,8,FALSE))</f>
        <v>179</v>
      </c>
      <c r="AC139" s="1">
        <f>ROUND(AB139*Weightings!$M$8,1)</f>
        <v>81.599999999999994</v>
      </c>
      <c r="AD139" s="1">
        <f t="shared" si="197"/>
        <v>0.5</v>
      </c>
      <c r="AE139" s="185">
        <v>75</v>
      </c>
      <c r="AF139" s="1">
        <f>AE139*Weightings!$M$9</f>
        <v>3.5</v>
      </c>
      <c r="AG139" s="1">
        <f>IF(ISNA(VLOOKUP($CZ139,'Audit Values'!$A$2:$AE$439,2,FALSE)),'Preliminary SO66'!L136,VLOOKUP($CZ139,'Audit Values'!$A$2:$AE$439,12,FALSE))</f>
        <v>0</v>
      </c>
      <c r="AH139" s="1">
        <f>ROUND(AG139*Weightings!$M$10,1)</f>
        <v>0</v>
      </c>
      <c r="AI139" s="1">
        <f>IF(ISNA(VLOOKUP($CZ139,'Audit Values'!$A$2:$AE$439,2,FALSE)),'Preliminary SO66'!O136,VLOOKUP($CZ139,'Audit Values'!$A$2:$AE$439,15,FALSE))</f>
        <v>246</v>
      </c>
      <c r="AJ139" s="1">
        <f t="shared" si="210"/>
        <v>51.1</v>
      </c>
      <c r="AK139" s="1">
        <f>CC139/Weightings!$M$5</f>
        <v>0</v>
      </c>
      <c r="AL139" s="1">
        <f>CD139/Weightings!$M$5</f>
        <v>0</v>
      </c>
      <c r="AM139" s="1">
        <f>CH139/Weightings!$M$5</f>
        <v>0</v>
      </c>
      <c r="AN139" s="1">
        <f t="shared" si="211"/>
        <v>0</v>
      </c>
      <c r="AO139" s="1">
        <f>IF(ISNA(VLOOKUP($CZ139,'Audit Values'!$A$2:$AE$439,2,FALSE)),'Preliminary SO66'!X136,VLOOKUP($CZ139,'Audit Values'!$A$2:$AE$439,24,FALSE))</f>
        <v>0</v>
      </c>
      <c r="AP139" s="188">
        <v>602628</v>
      </c>
      <c r="AQ139" s="113">
        <f>AP139/Weightings!$M$5</f>
        <v>157</v>
      </c>
      <c r="AR139" s="113">
        <f t="shared" si="212"/>
        <v>859.2</v>
      </c>
      <c r="AS139" s="1">
        <f t="shared" si="213"/>
        <v>1016.2</v>
      </c>
      <c r="AT139" s="1">
        <f t="shared" si="214"/>
        <v>1016.2</v>
      </c>
      <c r="AU139" s="189">
        <v>0</v>
      </c>
      <c r="AV139" s="82">
        <f>IF(ISNA(VLOOKUP($CZ139,'Audit Values'!$A$2:$AC$360,2,FALSE)),"",IF(AND(Weightings!H139&gt;0,VLOOKUP($CZ139,'Audit Values'!$A$2:$AC$360,29,FALSE)&lt;Weightings!H139),Weightings!H139,VLOOKUP($CZ139,'Audit Values'!$A$2:$AC$360,29,FALSE)))</f>
        <v>1</v>
      </c>
      <c r="AW139" s="82" t="str">
        <f>IF(ISNA(VLOOKUP($CZ139,'Audit Values'!$A$2:$AD$360,2,FALSE)),"",VLOOKUP($CZ139,'Audit Values'!$A$2:$AD$360,30,FALSE))</f>
        <v>A</v>
      </c>
      <c r="AX139" s="82" t="str">
        <f>IF(Weightings!G139="","",IF(Weightings!I139="Pending","PX","R"))</f>
        <v/>
      </c>
      <c r="AY139" s="114">
        <f>AR139*Weightings!$M$5+AU139</f>
        <v>3297610</v>
      </c>
      <c r="AZ139" s="2">
        <f>AT139*Weightings!$M$5+AU139</f>
        <v>3900176</v>
      </c>
      <c r="BA139" s="2">
        <f>IF(Weightings!G139&gt;0,Weightings!G139,'Preliminary SO66'!AB136)</f>
        <v>3998961</v>
      </c>
      <c r="BB139" s="2">
        <f t="shared" si="215"/>
        <v>3900176</v>
      </c>
      <c r="BC139" s="124"/>
      <c r="BD139" s="124">
        <f>Weightings!E139</f>
        <v>0</v>
      </c>
      <c r="BE139" s="124">
        <f>Weightings!F139</f>
        <v>0</v>
      </c>
      <c r="BF139" s="2">
        <f t="shared" si="216"/>
        <v>0</v>
      </c>
      <c r="BG139" s="2">
        <f t="shared" si="217"/>
        <v>3900176</v>
      </c>
      <c r="BH139" s="2">
        <f>MAX(ROUND(((AR139-AO139)*4433)+AP139,0),ROUND(((AR139-AO139)*4433)+Weightings!B139,0))</f>
        <v>4461862</v>
      </c>
      <c r="BI139" s="174">
        <v>0.3</v>
      </c>
      <c r="BJ139" s="2">
        <f t="shared" si="191"/>
        <v>1338559</v>
      </c>
      <c r="BK139" s="173">
        <v>1286800</v>
      </c>
      <c r="BL139" s="2">
        <f t="shared" si="194"/>
        <v>1286800</v>
      </c>
      <c r="BM139" s="3">
        <f t="shared" si="232"/>
        <v>0.28839999999999999</v>
      </c>
      <c r="BN139" s="1">
        <f t="shared" si="218"/>
        <v>0</v>
      </c>
      <c r="BO139" s="4" t="b">
        <f t="shared" si="219"/>
        <v>0</v>
      </c>
      <c r="BP139" s="5">
        <f t="shared" si="220"/>
        <v>0</v>
      </c>
      <c r="BQ139" s="6">
        <f t="shared" si="195"/>
        <v>0</v>
      </c>
      <c r="BR139" s="4">
        <f t="shared" si="221"/>
        <v>0</v>
      </c>
      <c r="BS139" s="4" t="b">
        <f t="shared" si="222"/>
        <v>1</v>
      </c>
      <c r="BT139" s="4">
        <f t="shared" si="223"/>
        <v>254.5538</v>
      </c>
      <c r="BU139" s="6">
        <f t="shared" si="196"/>
        <v>0.4143</v>
      </c>
      <c r="BV139" s="1">
        <f t="shared" si="224"/>
        <v>209.5</v>
      </c>
      <c r="BW139" s="1">
        <f t="shared" si="225"/>
        <v>0</v>
      </c>
      <c r="BX139" s="116">
        <v>90</v>
      </c>
      <c r="BY139" s="7">
        <f t="shared" si="233"/>
        <v>2.73</v>
      </c>
      <c r="BZ139" s="7">
        <f>IF(ROUND((Weightings!$P$5*BY139^Weightings!$P$6*Weightings!$P$8 ),2)&lt;Weightings!$P$7,Weightings!$P$7,ROUND((Weightings!$P$5*BY139^Weightings!$P$6*Weightings!$P$8 ),2))</f>
        <v>797.05</v>
      </c>
      <c r="CA139" s="8">
        <f>ROUND(BZ139/Weightings!$M$5,4)</f>
        <v>0.2077</v>
      </c>
      <c r="CB139" s="1">
        <f t="shared" si="234"/>
        <v>51.1</v>
      </c>
      <c r="CC139" s="173">
        <v>0</v>
      </c>
      <c r="CD139" s="173">
        <v>0</v>
      </c>
      <c r="CE139" s="173">
        <v>0</v>
      </c>
      <c r="CF139" s="177">
        <v>0</v>
      </c>
      <c r="CG139" s="2">
        <f>AS139*Weightings!$M$5*CF139</f>
        <v>0</v>
      </c>
      <c r="CH139" s="2">
        <f t="shared" si="198"/>
        <v>0</v>
      </c>
      <c r="CI139" s="117">
        <f t="shared" si="226"/>
        <v>0.35399999999999998</v>
      </c>
      <c r="CJ139" s="4">
        <f t="shared" si="227"/>
        <v>5.6</v>
      </c>
      <c r="CK139" s="1">
        <f t="shared" si="235"/>
        <v>0</v>
      </c>
      <c r="CL139" s="1">
        <f t="shared" si="236"/>
        <v>0</v>
      </c>
      <c r="CM139" s="1">
        <f t="shared" si="237"/>
        <v>0.5</v>
      </c>
      <c r="CN139" s="1">
        <f>IF(ISNA(VLOOKUP($CZ139,'Audit Values'!$A$2:$AE$439,2,FALSE)),'Preliminary SO66'!T136,VLOOKUP($CZ139,'Audit Values'!$A$2:$AE$439,20,FALSE))</f>
        <v>0</v>
      </c>
      <c r="CO139" s="1">
        <f t="shared" si="228"/>
        <v>0</v>
      </c>
      <c r="CP139" s="183">
        <v>0</v>
      </c>
      <c r="CQ139" s="1">
        <f t="shared" si="229"/>
        <v>0</v>
      </c>
      <c r="CR139" s="2">
        <f>IF(ISNA(VLOOKUP($CZ139,'Audit Values'!$A$2:$AE$439,2,FALSE)),'Preliminary SO66'!V136,VLOOKUP($CZ139,'Audit Values'!$A$2:$AE$439,22,FALSE))</f>
        <v>0</v>
      </c>
      <c r="CS139" s="1">
        <f t="shared" si="230"/>
        <v>0</v>
      </c>
      <c r="CT139" s="2">
        <f>IF(ISNA(VLOOKUP($CZ139,'Audit Values'!$A$2:$AE$439,2,FALSE)),'Preliminary SO66'!W136,VLOOKUP($CZ139,'Audit Values'!$A$2:$AE$439,23,FALSE))</f>
        <v>0</v>
      </c>
      <c r="CU139" s="1">
        <f t="shared" si="192"/>
        <v>0</v>
      </c>
      <c r="CV139" s="1">
        <f t="shared" si="193"/>
        <v>0</v>
      </c>
      <c r="CW139" s="176">
        <v>42751</v>
      </c>
      <c r="CX139" s="2">
        <f>IF(CW139&gt;0,Weightings!$M$11*AR139,0)</f>
        <v>214800</v>
      </c>
      <c r="CY139" s="2">
        <f t="shared" si="238"/>
        <v>42751</v>
      </c>
      <c r="CZ139" s="108" t="s">
        <v>431</v>
      </c>
    </row>
    <row r="140" spans="1:104">
      <c r="A140" s="82">
        <v>343</v>
      </c>
      <c r="B140" s="4" t="s">
        <v>61</v>
      </c>
      <c r="C140" s="4" t="s">
        <v>767</v>
      </c>
      <c r="D140" s="1">
        <v>855.6</v>
      </c>
      <c r="E140" s="1">
        <v>0</v>
      </c>
      <c r="F140" s="1">
        <f t="shared" si="187"/>
        <v>855.6</v>
      </c>
      <c r="G140" s="1">
        <v>843.8</v>
      </c>
      <c r="H140" s="1">
        <v>0</v>
      </c>
      <c r="I140" s="1">
        <f t="shared" si="201"/>
        <v>843.8</v>
      </c>
      <c r="J140" s="1">
        <f t="shared" si="202"/>
        <v>804</v>
      </c>
      <c r="K140" s="1">
        <f>IF(ISNA(VLOOKUP($CZ140,'Audit Values'!$A$2:$AE$439,2,FALSE)),'Preliminary SO66'!B137,VLOOKUP($CZ140,'Audit Values'!$A$2:$AE$439,31,FALSE))</f>
        <v>804</v>
      </c>
      <c r="L140" s="1">
        <f t="shared" si="203"/>
        <v>843.8</v>
      </c>
      <c r="M140" s="1">
        <f>IF(ISNA(VLOOKUP($CZ140,'Audit Values'!$A$2:$AE$439,2,FALSE)),'Preliminary SO66'!Z137,VLOOKUP($CZ140,'Audit Values'!$A$2:$AE$439,26,FALSE))</f>
        <v>0</v>
      </c>
      <c r="N140" s="1">
        <f t="shared" si="204"/>
        <v>843.8</v>
      </c>
      <c r="O140" s="1">
        <f>IF(ISNA(VLOOKUP($CZ140,'Audit Values'!$A$2:$AE$439,2,FALSE)),'Preliminary SO66'!C137,IF(VLOOKUP($CZ140,'Audit Values'!$A$2:$AE$439,28,FALSE)="",VLOOKUP($CZ140,'Audit Values'!$A$2:$AE$439,3,FALSE),VLOOKUP($CZ140,'Audit Values'!$A$2:$AE$439,28,FALSE)))</f>
        <v>6.5</v>
      </c>
      <c r="P140" s="109">
        <f t="shared" si="205"/>
        <v>810.5</v>
      </c>
      <c r="Q140" s="110">
        <f t="shared" si="206"/>
        <v>810.5</v>
      </c>
      <c r="R140" s="111">
        <f t="shared" si="207"/>
        <v>810.5</v>
      </c>
      <c r="S140" s="1">
        <f t="shared" si="208"/>
        <v>850.3</v>
      </c>
      <c r="T140" s="1">
        <f t="shared" si="185"/>
        <v>0</v>
      </c>
      <c r="U140" s="1">
        <f t="shared" si="209"/>
        <v>252.7</v>
      </c>
      <c r="V140" s="1">
        <f t="shared" si="199"/>
        <v>252.7</v>
      </c>
      <c r="W140" s="1">
        <f t="shared" si="200"/>
        <v>0</v>
      </c>
      <c r="X140" s="1">
        <f>IF(ISNA(VLOOKUP($CZ140,'Audit Values'!$A$2:$AE$439,2,FALSE)),'Preliminary SO66'!D137,VLOOKUP($CZ140,'Audit Values'!$A$2:$AE$439,4,FALSE))</f>
        <v>172.4</v>
      </c>
      <c r="Y140" s="1">
        <f>ROUND((X140/6)*Weightings!$M$6,1)</f>
        <v>14.4</v>
      </c>
      <c r="Z140" s="1">
        <f>IF(ISNA(VLOOKUP($CZ140,'Audit Values'!$A$2:$AE$439,2,FALSE)),'Preliminary SO66'!F137,VLOOKUP($CZ140,'Audit Values'!$A$2:$AE$439,6,FALSE))</f>
        <v>7</v>
      </c>
      <c r="AA140" s="1">
        <f>ROUND((Z140/6)*Weightings!$M$7,1)</f>
        <v>0.5</v>
      </c>
      <c r="AB140" s="2">
        <f>IF(ISNA(VLOOKUP($CZ140,'Audit Values'!$A$2:$AE$439,2,FALSE)),'Preliminary SO66'!H137,VLOOKUP($CZ140,'Audit Values'!$A$2:$AE$439,8,FALSE))</f>
        <v>239</v>
      </c>
      <c r="AC140" s="1">
        <f>ROUND(AB140*Weightings!$M$8,1)</f>
        <v>109</v>
      </c>
      <c r="AD140" s="1">
        <f t="shared" si="197"/>
        <v>0</v>
      </c>
      <c r="AE140" s="185">
        <v>92</v>
      </c>
      <c r="AF140" s="1">
        <f>AE140*Weightings!$M$9</f>
        <v>4.3</v>
      </c>
      <c r="AG140" s="1">
        <f>IF(ISNA(VLOOKUP($CZ140,'Audit Values'!$A$2:$AE$439,2,FALSE)),'Preliminary SO66'!L137,VLOOKUP($CZ140,'Audit Values'!$A$2:$AE$439,12,FALSE))</f>
        <v>0</v>
      </c>
      <c r="AH140" s="1">
        <f>ROUND(AG140*Weightings!$M$10,1)</f>
        <v>0</v>
      </c>
      <c r="AI140" s="1">
        <f>IF(ISNA(VLOOKUP($CZ140,'Audit Values'!$A$2:$AE$439,2,FALSE)),'Preliminary SO66'!O137,VLOOKUP($CZ140,'Audit Values'!$A$2:$AE$439,15,FALSE))</f>
        <v>536</v>
      </c>
      <c r="AJ140" s="1">
        <f t="shared" si="210"/>
        <v>105.2</v>
      </c>
      <c r="AK140" s="1">
        <f>CC140/Weightings!$M$5</f>
        <v>0</v>
      </c>
      <c r="AL140" s="1">
        <f>CD140/Weightings!$M$5</f>
        <v>0</v>
      </c>
      <c r="AM140" s="1">
        <f>CH140/Weightings!$M$5</f>
        <v>0</v>
      </c>
      <c r="AN140" s="1">
        <f t="shared" si="211"/>
        <v>0</v>
      </c>
      <c r="AO140" s="1">
        <f>IF(ISNA(VLOOKUP($CZ140,'Audit Values'!$A$2:$AE$439,2,FALSE)),'Preliminary SO66'!X137,VLOOKUP($CZ140,'Audit Values'!$A$2:$AE$439,24,FALSE))</f>
        <v>0</v>
      </c>
      <c r="AP140" s="188">
        <v>1074480</v>
      </c>
      <c r="AQ140" s="113">
        <f>AP140/Weightings!$M$5</f>
        <v>280</v>
      </c>
      <c r="AR140" s="113">
        <f t="shared" si="212"/>
        <v>1336.4</v>
      </c>
      <c r="AS140" s="1">
        <f t="shared" si="213"/>
        <v>1616.4</v>
      </c>
      <c r="AT140" s="1">
        <f t="shared" si="214"/>
        <v>1616.4</v>
      </c>
      <c r="AU140" s="2">
        <f t="shared" si="231"/>
        <v>0</v>
      </c>
      <c r="AV140" s="82">
        <f>IF(ISNA(VLOOKUP($CZ140,'Audit Values'!$A$2:$AC$360,2,FALSE)),"",IF(AND(Weightings!H140&gt;0,VLOOKUP($CZ140,'Audit Values'!$A$2:$AC$360,29,FALSE)&lt;Weightings!H140),Weightings!H140,VLOOKUP($CZ140,'Audit Values'!$A$2:$AC$360,29,FALSE)))</f>
        <v>11</v>
      </c>
      <c r="AW140" s="82" t="str">
        <f>IF(ISNA(VLOOKUP($CZ140,'Audit Values'!$A$2:$AD$360,2,FALSE)),"",VLOOKUP($CZ140,'Audit Values'!$A$2:$AD$360,30,FALSE))</f>
        <v>A</v>
      </c>
      <c r="AX140" s="82" t="str">
        <f>IF(Weightings!G140="","",IF(Weightings!I140="Pending","PX","R"))</f>
        <v/>
      </c>
      <c r="AY140" s="114">
        <f>AR140*Weightings!$M$5+AU140</f>
        <v>5129103</v>
      </c>
      <c r="AZ140" s="2">
        <f>AT140*Weightings!$M$5+AU140</f>
        <v>6203743</v>
      </c>
      <c r="BA140" s="2">
        <f>IF(Weightings!G140&gt;0,Weightings!G140,'Preliminary SO66'!AB137)</f>
        <v>6389288</v>
      </c>
      <c r="BB140" s="2">
        <f t="shared" si="215"/>
        <v>6203743</v>
      </c>
      <c r="BC140" s="124"/>
      <c r="BD140" s="124">
        <f>Weightings!E140</f>
        <v>0</v>
      </c>
      <c r="BE140" s="124">
        <f>Weightings!F140</f>
        <v>0</v>
      </c>
      <c r="BF140" s="2">
        <f t="shared" si="216"/>
        <v>0</v>
      </c>
      <c r="BG140" s="2">
        <f t="shared" si="217"/>
        <v>6203743</v>
      </c>
      <c r="BH140" s="2">
        <f>MAX(ROUND(((AR140-AO140)*4433)+AP140,0),ROUND(((AR140-AO140)*4433)+Weightings!B140,0))</f>
        <v>6998741</v>
      </c>
      <c r="BI140" s="174">
        <v>0.3</v>
      </c>
      <c r="BJ140" s="2">
        <f t="shared" si="191"/>
        <v>2099622</v>
      </c>
      <c r="BK140" s="173">
        <v>2134529</v>
      </c>
      <c r="BL140" s="2">
        <f t="shared" si="194"/>
        <v>2099622</v>
      </c>
      <c r="BM140" s="3">
        <f t="shared" si="232"/>
        <v>0.3</v>
      </c>
      <c r="BN140" s="1">
        <f t="shared" si="218"/>
        <v>0</v>
      </c>
      <c r="BO140" s="4" t="b">
        <f t="shared" si="219"/>
        <v>0</v>
      </c>
      <c r="BP140" s="5">
        <f t="shared" si="220"/>
        <v>0</v>
      </c>
      <c r="BQ140" s="6">
        <f t="shared" si="195"/>
        <v>0</v>
      </c>
      <c r="BR140" s="4">
        <f t="shared" si="221"/>
        <v>0</v>
      </c>
      <c r="BS140" s="4" t="b">
        <f t="shared" si="222"/>
        <v>1</v>
      </c>
      <c r="BT140" s="4">
        <f t="shared" si="223"/>
        <v>680.99630000000002</v>
      </c>
      <c r="BU140" s="6">
        <f t="shared" si="196"/>
        <v>0.29722300000000001</v>
      </c>
      <c r="BV140" s="1">
        <f t="shared" si="224"/>
        <v>252.7</v>
      </c>
      <c r="BW140" s="1">
        <f t="shared" si="225"/>
        <v>0</v>
      </c>
      <c r="BX140" s="116">
        <v>153.1</v>
      </c>
      <c r="BY140" s="7">
        <f t="shared" si="233"/>
        <v>3.5</v>
      </c>
      <c r="BZ140" s="7">
        <f>IF(ROUND((Weightings!$P$5*BY140^Weightings!$P$6*Weightings!$P$8 ),2)&lt;Weightings!$P$7,Weightings!$P$7,ROUND((Weightings!$P$5*BY140^Weightings!$P$6*Weightings!$P$8 ),2))</f>
        <v>753.13</v>
      </c>
      <c r="CA140" s="8">
        <f>ROUND(BZ140/Weightings!$M$5,4)</f>
        <v>0.19620000000000001</v>
      </c>
      <c r="CB140" s="1">
        <f t="shared" si="234"/>
        <v>105.2</v>
      </c>
      <c r="CC140" s="173">
        <v>0</v>
      </c>
      <c r="CD140" s="173">
        <v>0</v>
      </c>
      <c r="CE140" s="173">
        <v>0</v>
      </c>
      <c r="CF140" s="177">
        <v>0</v>
      </c>
      <c r="CG140" s="2">
        <f>AS140*Weightings!$M$5*CF140</f>
        <v>0</v>
      </c>
      <c r="CH140" s="2">
        <f t="shared" si="198"/>
        <v>0</v>
      </c>
      <c r="CI140" s="117">
        <f t="shared" si="226"/>
        <v>0.28100000000000003</v>
      </c>
      <c r="CJ140" s="4">
        <f t="shared" si="227"/>
        <v>5.6</v>
      </c>
      <c r="CK140" s="1">
        <f t="shared" si="235"/>
        <v>0</v>
      </c>
      <c r="CL140" s="1">
        <f t="shared" si="236"/>
        <v>0</v>
      </c>
      <c r="CM140" s="1">
        <f t="shared" si="237"/>
        <v>0</v>
      </c>
      <c r="CN140" s="1">
        <f>IF(ISNA(VLOOKUP($CZ140,'Audit Values'!$A$2:$AE$439,2,FALSE)),'Preliminary SO66'!T137,VLOOKUP($CZ140,'Audit Values'!$A$2:$AE$439,20,FALSE))</f>
        <v>0</v>
      </c>
      <c r="CO140" s="1">
        <f t="shared" si="228"/>
        <v>0</v>
      </c>
      <c r="CP140" s="183">
        <v>0</v>
      </c>
      <c r="CQ140" s="1">
        <f t="shared" si="229"/>
        <v>0</v>
      </c>
      <c r="CR140" s="2">
        <f>IF(ISNA(VLOOKUP($CZ140,'Audit Values'!$A$2:$AE$439,2,FALSE)),'Preliminary SO66'!V137,VLOOKUP($CZ140,'Audit Values'!$A$2:$AE$439,22,FALSE))</f>
        <v>0</v>
      </c>
      <c r="CS140" s="1">
        <f t="shared" si="230"/>
        <v>0</v>
      </c>
      <c r="CT140" s="2">
        <f>IF(ISNA(VLOOKUP($CZ140,'Audit Values'!$A$2:$AE$439,2,FALSE)),'Preliminary SO66'!W137,VLOOKUP($CZ140,'Audit Values'!$A$2:$AE$439,23,FALSE))</f>
        <v>0</v>
      </c>
      <c r="CU140" s="1">
        <f t="shared" si="192"/>
        <v>0</v>
      </c>
      <c r="CV140" s="1">
        <f t="shared" si="193"/>
        <v>0</v>
      </c>
      <c r="CW140" s="176">
        <v>0</v>
      </c>
      <c r="CX140" s="2">
        <f>IF(CW140&gt;0,Weightings!$M$11*AR140,0)</f>
        <v>0</v>
      </c>
      <c r="CY140" s="2">
        <f t="shared" si="238"/>
        <v>0</v>
      </c>
      <c r="CZ140" s="108" t="s">
        <v>432</v>
      </c>
    </row>
    <row r="141" spans="1:104">
      <c r="A141" s="82">
        <v>344</v>
      </c>
      <c r="B141" s="4" t="s">
        <v>62</v>
      </c>
      <c r="C141" s="4" t="s">
        <v>768</v>
      </c>
      <c r="D141" s="1">
        <v>318</v>
      </c>
      <c r="E141" s="1">
        <v>0</v>
      </c>
      <c r="F141" s="1">
        <f t="shared" si="187"/>
        <v>318</v>
      </c>
      <c r="G141" s="1">
        <v>328</v>
      </c>
      <c r="H141" s="1">
        <v>0</v>
      </c>
      <c r="I141" s="1">
        <f t="shared" si="201"/>
        <v>328</v>
      </c>
      <c r="J141" s="1">
        <f t="shared" si="202"/>
        <v>365.2</v>
      </c>
      <c r="K141" s="1">
        <f>IF(ISNA(VLOOKUP($CZ141,'Audit Values'!$A$2:$AE$439,2,FALSE)),'Preliminary SO66'!B138,VLOOKUP($CZ141,'Audit Values'!$A$2:$AE$439,31,FALSE))</f>
        <v>365.2</v>
      </c>
      <c r="L141" s="1">
        <f t="shared" si="203"/>
        <v>365.2</v>
      </c>
      <c r="M141" s="1">
        <f>IF(ISNA(VLOOKUP($CZ141,'Audit Values'!$A$2:$AE$439,2,FALSE)),'Preliminary SO66'!Z138,VLOOKUP($CZ141,'Audit Values'!$A$2:$AE$439,26,FALSE))</f>
        <v>0</v>
      </c>
      <c r="N141" s="1">
        <f t="shared" si="204"/>
        <v>365.2</v>
      </c>
      <c r="O141" s="1">
        <f>IF(ISNA(VLOOKUP($CZ141,'Audit Values'!$A$2:$AE$439,2,FALSE)),'Preliminary SO66'!C138,IF(VLOOKUP($CZ141,'Audit Values'!$A$2:$AE$439,28,FALSE)="",VLOOKUP($CZ141,'Audit Values'!$A$2:$AE$439,3,FALSE),VLOOKUP($CZ141,'Audit Values'!$A$2:$AE$439,28,FALSE)))</f>
        <v>5</v>
      </c>
      <c r="P141" s="109">
        <f t="shared" si="205"/>
        <v>370.2</v>
      </c>
      <c r="Q141" s="110">
        <f t="shared" si="206"/>
        <v>370.2</v>
      </c>
      <c r="R141" s="111">
        <f t="shared" si="207"/>
        <v>370.2</v>
      </c>
      <c r="S141" s="1">
        <f t="shared" si="208"/>
        <v>370.2</v>
      </c>
      <c r="T141" s="1">
        <f t="shared" si="185"/>
        <v>0</v>
      </c>
      <c r="U141" s="1">
        <f t="shared" si="209"/>
        <v>170.4</v>
      </c>
      <c r="V141" s="1">
        <f t="shared" si="199"/>
        <v>170.4</v>
      </c>
      <c r="W141" s="1">
        <f t="shared" si="200"/>
        <v>0</v>
      </c>
      <c r="X141" s="1">
        <f>IF(ISNA(VLOOKUP($CZ141,'Audit Values'!$A$2:$AE$439,2,FALSE)),'Preliminary SO66'!D138,VLOOKUP($CZ141,'Audit Values'!$A$2:$AE$439,4,FALSE))</f>
        <v>115.9</v>
      </c>
      <c r="Y141" s="1">
        <f>ROUND((X141/6)*Weightings!$M$6,1)</f>
        <v>9.6999999999999993</v>
      </c>
      <c r="Z141" s="1">
        <f>IF(ISNA(VLOOKUP($CZ141,'Audit Values'!$A$2:$AE$439,2,FALSE)),'Preliminary SO66'!F138,VLOOKUP($CZ141,'Audit Values'!$A$2:$AE$439,6,FALSE))</f>
        <v>0</v>
      </c>
      <c r="AA141" s="1">
        <f>ROUND((Z141/6)*Weightings!$M$7,1)</f>
        <v>0</v>
      </c>
      <c r="AB141" s="2">
        <f>IF(ISNA(VLOOKUP($CZ141,'Audit Values'!$A$2:$AE$439,2,FALSE)),'Preliminary SO66'!H138,VLOOKUP($CZ141,'Audit Values'!$A$2:$AE$439,8,FALSE))</f>
        <v>199</v>
      </c>
      <c r="AC141" s="1">
        <f>ROUND(AB141*Weightings!$M$8,1)</f>
        <v>90.7</v>
      </c>
      <c r="AD141" s="1">
        <f t="shared" si="197"/>
        <v>20.9</v>
      </c>
      <c r="AE141" s="185">
        <v>27</v>
      </c>
      <c r="AF141" s="1">
        <f>AE141*Weightings!$M$9</f>
        <v>1.3</v>
      </c>
      <c r="AG141" s="1">
        <f>IF(ISNA(VLOOKUP($CZ141,'Audit Values'!$A$2:$AE$439,2,FALSE)),'Preliminary SO66'!L138,VLOOKUP($CZ141,'Audit Values'!$A$2:$AE$439,12,FALSE))</f>
        <v>0</v>
      </c>
      <c r="AH141" s="1">
        <f>ROUND(AG141*Weightings!$M$10,1)</f>
        <v>0</v>
      </c>
      <c r="AI141" s="1">
        <f>IF(ISNA(VLOOKUP($CZ141,'Audit Values'!$A$2:$AE$439,2,FALSE)),'Preliminary SO66'!O138,VLOOKUP($CZ141,'Audit Values'!$A$2:$AE$439,15,FALSE))</f>
        <v>71</v>
      </c>
      <c r="AJ141" s="1">
        <f t="shared" si="210"/>
        <v>19.7</v>
      </c>
      <c r="AK141" s="1">
        <f>CC141/Weightings!$M$5</f>
        <v>0</v>
      </c>
      <c r="AL141" s="1">
        <f>CD141/Weightings!$M$5</f>
        <v>0</v>
      </c>
      <c r="AM141" s="1">
        <f>CH141/Weightings!$M$5</f>
        <v>0</v>
      </c>
      <c r="AN141" s="1">
        <f t="shared" si="211"/>
        <v>0</v>
      </c>
      <c r="AO141" s="1">
        <f>IF(ISNA(VLOOKUP($CZ141,'Audit Values'!$A$2:$AE$439,2,FALSE)),'Preliminary SO66'!X138,VLOOKUP($CZ141,'Audit Values'!$A$2:$AE$439,24,FALSE))</f>
        <v>0</v>
      </c>
      <c r="AP141" s="188">
        <v>197607.99999999997</v>
      </c>
      <c r="AQ141" s="113">
        <f>AP141/Weightings!$M$5</f>
        <v>51.5</v>
      </c>
      <c r="AR141" s="113">
        <f t="shared" si="212"/>
        <v>682.9</v>
      </c>
      <c r="AS141" s="1">
        <f t="shared" si="213"/>
        <v>734.4</v>
      </c>
      <c r="AT141" s="1">
        <f t="shared" si="214"/>
        <v>734.4</v>
      </c>
      <c r="AU141" s="2">
        <f t="shared" si="231"/>
        <v>0</v>
      </c>
      <c r="AV141" s="82">
        <f>IF(ISNA(VLOOKUP($CZ141,'Audit Values'!$A$2:$AC$360,2,FALSE)),"",IF(AND(Weightings!H141&gt;0,VLOOKUP($CZ141,'Audit Values'!$A$2:$AC$360,29,FALSE)&lt;Weightings!H141),Weightings!H141,VLOOKUP($CZ141,'Audit Values'!$A$2:$AC$360,29,FALSE)))</f>
        <v>16</v>
      </c>
      <c r="AW141" s="82" t="str">
        <f>IF(ISNA(VLOOKUP($CZ141,'Audit Values'!$A$2:$AD$360,2,FALSE)),"",VLOOKUP($CZ141,'Audit Values'!$A$2:$AD$360,30,FALSE))</f>
        <v>A</v>
      </c>
      <c r="AX141" s="82" t="str">
        <f>IF(Weightings!G141="","",IF(Weightings!I141="Pending","PX","R"))</f>
        <v>R</v>
      </c>
      <c r="AY141" s="114">
        <f>AR141*Weightings!$M$5+AU141</f>
        <v>2620970</v>
      </c>
      <c r="AZ141" s="2">
        <f>AT141*Weightings!$M$5+AU141</f>
        <v>2818627</v>
      </c>
      <c r="BA141" s="2">
        <f>IF(Weightings!G141&gt;0,Weightings!G141,'Preliminary SO66'!AB138)</f>
        <v>2865451</v>
      </c>
      <c r="BB141" s="2">
        <f t="shared" si="215"/>
        <v>2818627</v>
      </c>
      <c r="BC141" s="124"/>
      <c r="BD141" s="124">
        <f>Weightings!E141</f>
        <v>0</v>
      </c>
      <c r="BE141" s="124">
        <f>Weightings!F141</f>
        <v>0</v>
      </c>
      <c r="BF141" s="2">
        <f t="shared" si="216"/>
        <v>0</v>
      </c>
      <c r="BG141" s="2">
        <f t="shared" si="217"/>
        <v>2818627</v>
      </c>
      <c r="BH141" s="2">
        <f>MAX(ROUND(((AR141-AO141)*4433)+AP141,0),ROUND(((AR141-AO141)*4433)+Weightings!B141,0))</f>
        <v>3242695</v>
      </c>
      <c r="BI141" s="174">
        <v>0.3</v>
      </c>
      <c r="BJ141" s="2">
        <f t="shared" si="191"/>
        <v>972809</v>
      </c>
      <c r="BK141" s="173">
        <v>755000</v>
      </c>
      <c r="BL141" s="2">
        <f t="shared" si="194"/>
        <v>755000</v>
      </c>
      <c r="BM141" s="3">
        <f t="shared" si="232"/>
        <v>0.23280000000000001</v>
      </c>
      <c r="BN141" s="1">
        <f t="shared" si="218"/>
        <v>0</v>
      </c>
      <c r="BO141" s="4" t="b">
        <f t="shared" si="219"/>
        <v>0</v>
      </c>
      <c r="BP141" s="5">
        <f t="shared" si="220"/>
        <v>0</v>
      </c>
      <c r="BQ141" s="6">
        <f t="shared" si="195"/>
        <v>0</v>
      </c>
      <c r="BR141" s="4">
        <f t="shared" si="221"/>
        <v>0</v>
      </c>
      <c r="BS141" s="4" t="b">
        <f t="shared" si="222"/>
        <v>1</v>
      </c>
      <c r="BT141" s="4">
        <f t="shared" si="223"/>
        <v>86.872500000000002</v>
      </c>
      <c r="BU141" s="6">
        <f t="shared" si="196"/>
        <v>0.46033600000000002</v>
      </c>
      <c r="BV141" s="1">
        <f t="shared" si="224"/>
        <v>170.4</v>
      </c>
      <c r="BW141" s="1">
        <f t="shared" si="225"/>
        <v>0</v>
      </c>
      <c r="BX141" s="116">
        <v>92.5</v>
      </c>
      <c r="BY141" s="7">
        <f t="shared" si="233"/>
        <v>0.77</v>
      </c>
      <c r="BZ141" s="7">
        <f>IF(ROUND((Weightings!$P$5*BY141^Weightings!$P$6*Weightings!$P$8 ),2)&lt;Weightings!$P$7,Weightings!$P$7,ROUND((Weightings!$P$5*BY141^Weightings!$P$6*Weightings!$P$8 ),2))</f>
        <v>1063.81</v>
      </c>
      <c r="CA141" s="8">
        <f>ROUND(BZ141/Weightings!$M$5,4)</f>
        <v>0.2772</v>
      </c>
      <c r="CB141" s="1">
        <f t="shared" si="234"/>
        <v>19.7</v>
      </c>
      <c r="CC141" s="173">
        <v>0</v>
      </c>
      <c r="CD141" s="173">
        <v>0</v>
      </c>
      <c r="CE141" s="173">
        <v>0</v>
      </c>
      <c r="CF141" s="177">
        <v>0</v>
      </c>
      <c r="CG141" s="2">
        <f>AS141*Weightings!$M$5*CF141</f>
        <v>0</v>
      </c>
      <c r="CH141" s="2">
        <f t="shared" si="198"/>
        <v>0</v>
      </c>
      <c r="CI141" s="117">
        <f t="shared" si="226"/>
        <v>0.53800000000000003</v>
      </c>
      <c r="CJ141" s="4">
        <f t="shared" si="227"/>
        <v>4</v>
      </c>
      <c r="CK141" s="1">
        <f t="shared" si="235"/>
        <v>20.9</v>
      </c>
      <c r="CL141" s="1">
        <f t="shared" si="236"/>
        <v>0</v>
      </c>
      <c r="CM141" s="1">
        <f t="shared" si="237"/>
        <v>0</v>
      </c>
      <c r="CN141" s="1">
        <f>IF(ISNA(VLOOKUP($CZ141,'Audit Values'!$A$2:$AE$439,2,FALSE)),'Preliminary SO66'!T138,VLOOKUP($CZ141,'Audit Values'!$A$2:$AE$439,20,FALSE))</f>
        <v>0</v>
      </c>
      <c r="CO141" s="1">
        <f t="shared" si="228"/>
        <v>0</v>
      </c>
      <c r="CP141" s="183">
        <v>0</v>
      </c>
      <c r="CQ141" s="1">
        <f t="shared" si="229"/>
        <v>0</v>
      </c>
      <c r="CR141" s="2">
        <f>IF(ISNA(VLOOKUP($CZ141,'Audit Values'!$A$2:$AE$439,2,FALSE)),'Preliminary SO66'!V138,VLOOKUP($CZ141,'Audit Values'!$A$2:$AE$439,22,FALSE))</f>
        <v>0</v>
      </c>
      <c r="CS141" s="1">
        <f t="shared" si="230"/>
        <v>0</v>
      </c>
      <c r="CT141" s="2">
        <f>IF(ISNA(VLOOKUP($CZ141,'Audit Values'!$A$2:$AE$439,2,FALSE)),'Preliminary SO66'!W138,VLOOKUP($CZ141,'Audit Values'!$A$2:$AE$439,23,FALSE))</f>
        <v>0</v>
      </c>
      <c r="CU141" s="1">
        <f t="shared" si="192"/>
        <v>0</v>
      </c>
      <c r="CV141" s="1">
        <f t="shared" si="193"/>
        <v>0</v>
      </c>
      <c r="CW141" s="176">
        <v>0</v>
      </c>
      <c r="CX141" s="2">
        <f>IF(CW141&gt;0,Weightings!$M$11*AR141,0)</f>
        <v>0</v>
      </c>
      <c r="CY141" s="2">
        <f t="shared" si="238"/>
        <v>0</v>
      </c>
      <c r="CZ141" s="108" t="s">
        <v>433</v>
      </c>
    </row>
    <row r="142" spans="1:104">
      <c r="A142" s="82">
        <v>345</v>
      </c>
      <c r="B142" s="4" t="s">
        <v>63</v>
      </c>
      <c r="C142" s="4" t="s">
        <v>769</v>
      </c>
      <c r="D142" s="1">
        <v>3675.2</v>
      </c>
      <c r="E142" s="1">
        <v>0</v>
      </c>
      <c r="F142" s="1">
        <f t="shared" si="187"/>
        <v>3675.2</v>
      </c>
      <c r="G142" s="1">
        <v>3709.3</v>
      </c>
      <c r="H142" s="1">
        <v>0</v>
      </c>
      <c r="I142" s="1">
        <f t="shared" si="201"/>
        <v>3709.3</v>
      </c>
      <c r="J142" s="1">
        <f t="shared" si="202"/>
        <v>3699.7</v>
      </c>
      <c r="K142" s="1">
        <f>IF(ISNA(VLOOKUP($CZ142,'Audit Values'!$A$2:$AE$439,2,FALSE)),'Preliminary SO66'!B139,VLOOKUP($CZ142,'Audit Values'!$A$2:$AE$439,31,FALSE))</f>
        <v>3686.5</v>
      </c>
      <c r="L142" s="1">
        <f t="shared" si="203"/>
        <v>3709.3</v>
      </c>
      <c r="M142" s="1">
        <f>IF(ISNA(VLOOKUP($CZ142,'Audit Values'!$A$2:$AE$439,2,FALSE)),'Preliminary SO66'!Z139,VLOOKUP($CZ142,'Audit Values'!$A$2:$AE$439,26,FALSE))</f>
        <v>0</v>
      </c>
      <c r="N142" s="1">
        <f t="shared" si="204"/>
        <v>3709.3</v>
      </c>
      <c r="O142" s="1">
        <f>IF(ISNA(VLOOKUP($CZ142,'Audit Values'!$A$2:$AE$439,2,FALSE)),'Preliminary SO66'!C139,IF(VLOOKUP($CZ142,'Audit Values'!$A$2:$AE$439,28,FALSE)="",VLOOKUP($CZ142,'Audit Values'!$A$2:$AE$439,3,FALSE),VLOOKUP($CZ142,'Audit Values'!$A$2:$AE$439,28,FALSE)))</f>
        <v>19</v>
      </c>
      <c r="P142" s="109">
        <f t="shared" si="205"/>
        <v>3705.5</v>
      </c>
      <c r="Q142" s="110">
        <f t="shared" si="206"/>
        <v>3718.7</v>
      </c>
      <c r="R142" s="111">
        <f t="shared" si="207"/>
        <v>3718.7</v>
      </c>
      <c r="S142" s="1">
        <f t="shared" si="208"/>
        <v>3728.3</v>
      </c>
      <c r="T142" s="1">
        <f t="shared" si="185"/>
        <v>13.2</v>
      </c>
      <c r="U142" s="1">
        <f t="shared" si="209"/>
        <v>130.6</v>
      </c>
      <c r="V142" s="1">
        <f t="shared" si="199"/>
        <v>0</v>
      </c>
      <c r="W142" s="1">
        <f t="shared" si="200"/>
        <v>130.6</v>
      </c>
      <c r="X142" s="1">
        <f>IF(ISNA(VLOOKUP($CZ142,'Audit Values'!$A$2:$AE$439,2,FALSE)),'Preliminary SO66'!D139,VLOOKUP($CZ142,'Audit Values'!$A$2:$AE$439,4,FALSE))</f>
        <v>654.79999999999995</v>
      </c>
      <c r="Y142" s="1">
        <f>ROUND((X142/6)*Weightings!$M$6,1)</f>
        <v>54.6</v>
      </c>
      <c r="Z142" s="1">
        <f>IF(ISNA(VLOOKUP($CZ142,'Audit Values'!$A$2:$AE$439,2,FALSE)),'Preliminary SO66'!F139,VLOOKUP($CZ142,'Audit Values'!$A$2:$AE$439,6,FALSE))</f>
        <v>19.100000000000001</v>
      </c>
      <c r="AA142" s="1">
        <f>ROUND((Z142/6)*Weightings!$M$7,1)</f>
        <v>1.3</v>
      </c>
      <c r="AB142" s="2">
        <f>IF(ISNA(VLOOKUP($CZ142,'Audit Values'!$A$2:$AE$439,2,FALSE)),'Preliminary SO66'!H139,VLOOKUP($CZ142,'Audit Values'!$A$2:$AE$439,8,FALSE))</f>
        <v>1088</v>
      </c>
      <c r="AC142" s="1">
        <f>ROUND(AB142*Weightings!$M$8,1)</f>
        <v>496.1</v>
      </c>
      <c r="AD142" s="1">
        <f t="shared" si="197"/>
        <v>0</v>
      </c>
      <c r="AE142" s="185">
        <v>233</v>
      </c>
      <c r="AF142" s="1">
        <f>AE142*Weightings!$M$9</f>
        <v>10.8</v>
      </c>
      <c r="AG142" s="1">
        <f>IF(ISNA(VLOOKUP($CZ142,'Audit Values'!$A$2:$AE$439,2,FALSE)),'Preliminary SO66'!L139,VLOOKUP($CZ142,'Audit Values'!$A$2:$AE$439,12,FALSE))</f>
        <v>0</v>
      </c>
      <c r="AH142" s="1">
        <f>ROUND(AG142*Weightings!$M$10,1)</f>
        <v>0</v>
      </c>
      <c r="AI142" s="1">
        <f>IF(ISNA(VLOOKUP($CZ142,'Audit Values'!$A$2:$AE$439,2,FALSE)),'Preliminary SO66'!O139,VLOOKUP($CZ142,'Audit Values'!$A$2:$AE$439,15,FALSE))</f>
        <v>1710</v>
      </c>
      <c r="AJ142" s="1">
        <f t="shared" si="210"/>
        <v>260.60000000000002</v>
      </c>
      <c r="AK142" s="1">
        <f>CC142/Weightings!$M$5</f>
        <v>0</v>
      </c>
      <c r="AL142" s="1">
        <f>CD142/Weightings!$M$5</f>
        <v>0</v>
      </c>
      <c r="AM142" s="1">
        <f>CH142/Weightings!$M$5</f>
        <v>0</v>
      </c>
      <c r="AN142" s="1">
        <f t="shared" si="211"/>
        <v>13.9</v>
      </c>
      <c r="AO142" s="1">
        <f>IF(ISNA(VLOOKUP($CZ142,'Audit Values'!$A$2:$AE$439,2,FALSE)),'Preliminary SO66'!X139,VLOOKUP($CZ142,'Audit Values'!$A$2:$AE$439,24,FALSE))</f>
        <v>3</v>
      </c>
      <c r="AP142" s="188">
        <v>3689033</v>
      </c>
      <c r="AQ142" s="113">
        <f>AP142/Weightings!$M$5</f>
        <v>961.2</v>
      </c>
      <c r="AR142" s="113">
        <f t="shared" si="212"/>
        <v>4699.2</v>
      </c>
      <c r="AS142" s="1">
        <f t="shared" si="213"/>
        <v>5660.4</v>
      </c>
      <c r="AT142" s="1">
        <f t="shared" si="214"/>
        <v>5660.4</v>
      </c>
      <c r="AU142" s="2">
        <f t="shared" si="231"/>
        <v>50000</v>
      </c>
      <c r="AV142" s="82">
        <f>IF(ISNA(VLOOKUP($CZ142,'Audit Values'!$A$2:$AC$360,2,FALSE)),"",IF(AND(Weightings!H142&gt;0,VLOOKUP($CZ142,'Audit Values'!$A$2:$AC$360,29,FALSE)&lt;Weightings!H142),Weightings!H142,VLOOKUP($CZ142,'Audit Values'!$A$2:$AC$360,29,FALSE)))</f>
        <v>5</v>
      </c>
      <c r="AW142" s="82" t="str">
        <f>IF(ISNA(VLOOKUP($CZ142,'Audit Values'!$A$2:$AD$360,2,FALSE)),"",VLOOKUP($CZ142,'Audit Values'!$A$2:$AD$360,30,FALSE))</f>
        <v>A</v>
      </c>
      <c r="AX142" s="82" t="str">
        <f>IF(Weightings!G142="","",IF(Weightings!I142="Pending","PX","R"))</f>
        <v/>
      </c>
      <c r="AY142" s="114">
        <f>AR142*Weightings!$M$5+AU142</f>
        <v>18085530</v>
      </c>
      <c r="AZ142" s="2">
        <f>AT142*Weightings!$M$5+AU142</f>
        <v>21774615</v>
      </c>
      <c r="BA142" s="2">
        <f>IF(Weightings!G142&gt;0,Weightings!G142,'Preliminary SO66'!AB139)</f>
        <v>21861738</v>
      </c>
      <c r="BB142" s="2">
        <f t="shared" si="215"/>
        <v>21774615</v>
      </c>
      <c r="BC142" s="124"/>
      <c r="BD142" s="124">
        <f>Weightings!E142</f>
        <v>0</v>
      </c>
      <c r="BE142" s="124">
        <f>Weightings!F142</f>
        <v>0</v>
      </c>
      <c r="BF142" s="2">
        <f t="shared" si="216"/>
        <v>0</v>
      </c>
      <c r="BG142" s="2">
        <f t="shared" si="217"/>
        <v>21774615</v>
      </c>
      <c r="BH142" s="2">
        <f>MAX(ROUND(((AR142-AO142)*4433)+AP142,0),ROUND(((AR142-AO142)*4433)+Weightings!B142,0))</f>
        <v>24507288</v>
      </c>
      <c r="BI142" s="174">
        <v>0.3</v>
      </c>
      <c r="BJ142" s="2">
        <f t="shared" si="191"/>
        <v>7352186</v>
      </c>
      <c r="BK142" s="173">
        <v>7390988</v>
      </c>
      <c r="BL142" s="2">
        <f t="shared" si="194"/>
        <v>7352186</v>
      </c>
      <c r="BM142" s="3">
        <f t="shared" si="232"/>
        <v>0.3</v>
      </c>
      <c r="BN142" s="1">
        <f t="shared" si="218"/>
        <v>0</v>
      </c>
      <c r="BO142" s="4" t="b">
        <f t="shared" si="219"/>
        <v>0</v>
      </c>
      <c r="BP142" s="5">
        <f t="shared" si="220"/>
        <v>0</v>
      </c>
      <c r="BQ142" s="6">
        <f t="shared" si="195"/>
        <v>0</v>
      </c>
      <c r="BR142" s="4">
        <f t="shared" si="221"/>
        <v>0</v>
      </c>
      <c r="BS142" s="4" t="b">
        <f t="shared" si="222"/>
        <v>0</v>
      </c>
      <c r="BT142" s="4">
        <f t="shared" si="223"/>
        <v>0</v>
      </c>
      <c r="BU142" s="6">
        <f t="shared" si="196"/>
        <v>0</v>
      </c>
      <c r="BV142" s="1">
        <f t="shared" si="224"/>
        <v>0</v>
      </c>
      <c r="BW142" s="1">
        <f t="shared" si="225"/>
        <v>130.6</v>
      </c>
      <c r="BX142" s="116">
        <v>84</v>
      </c>
      <c r="BY142" s="7">
        <f t="shared" si="233"/>
        <v>20.36</v>
      </c>
      <c r="BZ142" s="7">
        <f>IF(ROUND((Weightings!$P$5*BY142^Weightings!$P$6*Weightings!$P$8 ),2)&lt;Weightings!$P$7,Weightings!$P$7,ROUND((Weightings!$P$5*BY142^Weightings!$P$6*Weightings!$P$8 ),2))</f>
        <v>585</v>
      </c>
      <c r="CA142" s="8">
        <f>ROUND(BZ142/Weightings!$M$5,4)</f>
        <v>0.15240000000000001</v>
      </c>
      <c r="CB142" s="1">
        <f t="shared" si="234"/>
        <v>260.60000000000002</v>
      </c>
      <c r="CC142" s="173">
        <v>0</v>
      </c>
      <c r="CD142" s="173">
        <v>0</v>
      </c>
      <c r="CE142" s="173">
        <v>0</v>
      </c>
      <c r="CF142" s="177">
        <v>0</v>
      </c>
      <c r="CG142" s="2">
        <f>AS142*Weightings!$M$5*CF142</f>
        <v>0</v>
      </c>
      <c r="CH142" s="2">
        <f t="shared" si="198"/>
        <v>0</v>
      </c>
      <c r="CI142" s="117">
        <f t="shared" si="226"/>
        <v>0.29199999999999998</v>
      </c>
      <c r="CJ142" s="4">
        <f t="shared" si="227"/>
        <v>44.4</v>
      </c>
      <c r="CK142" s="1">
        <f t="shared" si="235"/>
        <v>0</v>
      </c>
      <c r="CL142" s="1">
        <f t="shared" si="236"/>
        <v>0</v>
      </c>
      <c r="CM142" s="1">
        <f t="shared" si="237"/>
        <v>0</v>
      </c>
      <c r="CN142" s="1">
        <f>IF(ISNA(VLOOKUP($CZ142,'Audit Values'!$A$2:$AE$439,2,FALSE)),'Preliminary SO66'!T139,VLOOKUP($CZ142,'Audit Values'!$A$2:$AE$439,20,FALSE))</f>
        <v>13.2</v>
      </c>
      <c r="CO142" s="1">
        <f t="shared" si="228"/>
        <v>13.9</v>
      </c>
      <c r="CP142" s="183">
        <v>0</v>
      </c>
      <c r="CQ142" s="1">
        <f t="shared" si="229"/>
        <v>0</v>
      </c>
      <c r="CR142" s="2">
        <f>IF(ISNA(VLOOKUP($CZ142,'Audit Values'!$A$2:$AE$439,2,FALSE)),'Preliminary SO66'!V139,VLOOKUP($CZ142,'Audit Values'!$A$2:$AE$439,22,FALSE))</f>
        <v>0</v>
      </c>
      <c r="CS142" s="1">
        <f t="shared" si="230"/>
        <v>0</v>
      </c>
      <c r="CT142" s="2">
        <f>IF(ISNA(VLOOKUP($CZ142,'Audit Values'!$A$2:$AE$439,2,FALSE)),'Preliminary SO66'!W139,VLOOKUP($CZ142,'Audit Values'!$A$2:$AE$439,23,FALSE))</f>
        <v>0</v>
      </c>
      <c r="CU142" s="1">
        <f t="shared" si="192"/>
        <v>0</v>
      </c>
      <c r="CV142" s="1">
        <f t="shared" si="193"/>
        <v>13.9</v>
      </c>
      <c r="CW142" s="176">
        <v>50000</v>
      </c>
      <c r="CX142" s="2">
        <f>IF(CW142&gt;0,Weightings!$M$11*AR142,0)</f>
        <v>1174800</v>
      </c>
      <c r="CY142" s="2">
        <f t="shared" si="238"/>
        <v>50000</v>
      </c>
      <c r="CZ142" s="108" t="s">
        <v>434</v>
      </c>
    </row>
    <row r="143" spans="1:104">
      <c r="A143" s="82">
        <v>346</v>
      </c>
      <c r="B143" s="4" t="s">
        <v>62</v>
      </c>
      <c r="C143" s="4" t="s">
        <v>770</v>
      </c>
      <c r="D143" s="1">
        <v>488</v>
      </c>
      <c r="E143" s="1">
        <v>0</v>
      </c>
      <c r="F143" s="1">
        <f t="shared" si="187"/>
        <v>488</v>
      </c>
      <c r="G143" s="1">
        <v>517.29999999999995</v>
      </c>
      <c r="H143" s="1">
        <v>0</v>
      </c>
      <c r="I143" s="1">
        <f t="shared" si="201"/>
        <v>517.29999999999995</v>
      </c>
      <c r="J143" s="1">
        <f t="shared" si="202"/>
        <v>505.3</v>
      </c>
      <c r="K143" s="1">
        <f>IF(ISNA(VLOOKUP($CZ143,'Audit Values'!$A$2:$AE$439,2,FALSE)),'Preliminary SO66'!B140,VLOOKUP($CZ143,'Audit Values'!$A$2:$AE$439,31,FALSE))</f>
        <v>504.4</v>
      </c>
      <c r="L143" s="1">
        <f t="shared" si="203"/>
        <v>517.29999999999995</v>
      </c>
      <c r="M143" s="1">
        <f>IF(ISNA(VLOOKUP($CZ143,'Audit Values'!$A$2:$AE$439,2,FALSE)),'Preliminary SO66'!Z140,VLOOKUP($CZ143,'Audit Values'!$A$2:$AE$439,26,FALSE))</f>
        <v>0</v>
      </c>
      <c r="N143" s="1">
        <f t="shared" si="204"/>
        <v>517.29999999999995</v>
      </c>
      <c r="O143" s="1">
        <f>IF(ISNA(VLOOKUP($CZ143,'Audit Values'!$A$2:$AE$439,2,FALSE)),'Preliminary SO66'!C140,IF(VLOOKUP($CZ143,'Audit Values'!$A$2:$AE$439,28,FALSE)="",VLOOKUP($CZ143,'Audit Values'!$A$2:$AE$439,3,FALSE),VLOOKUP($CZ143,'Audit Values'!$A$2:$AE$439,28,FALSE)))</f>
        <v>10</v>
      </c>
      <c r="P143" s="109">
        <f t="shared" si="205"/>
        <v>514.4</v>
      </c>
      <c r="Q143" s="110">
        <f t="shared" si="206"/>
        <v>515.29999999999995</v>
      </c>
      <c r="R143" s="111">
        <f t="shared" si="207"/>
        <v>515.29999999999995</v>
      </c>
      <c r="S143" s="1">
        <f t="shared" si="208"/>
        <v>527.29999999999995</v>
      </c>
      <c r="T143" s="1">
        <f t="shared" ref="T143:T206" si="239">CN143</f>
        <v>0.9</v>
      </c>
      <c r="U143" s="1">
        <f t="shared" si="209"/>
        <v>214.6</v>
      </c>
      <c r="V143" s="1">
        <f t="shared" si="199"/>
        <v>214.6</v>
      </c>
      <c r="W143" s="1">
        <f t="shared" si="200"/>
        <v>0</v>
      </c>
      <c r="X143" s="1">
        <f>IF(ISNA(VLOOKUP($CZ143,'Audit Values'!$A$2:$AE$439,2,FALSE)),'Preliminary SO66'!D140,VLOOKUP($CZ143,'Audit Values'!$A$2:$AE$439,4,FALSE))</f>
        <v>201.3</v>
      </c>
      <c r="Y143" s="1">
        <f>ROUND((X143/6)*Weightings!$M$6,1)</f>
        <v>16.8</v>
      </c>
      <c r="Z143" s="1">
        <f>IF(ISNA(VLOOKUP($CZ143,'Audit Values'!$A$2:$AE$439,2,FALSE)),'Preliminary SO66'!F140,VLOOKUP($CZ143,'Audit Values'!$A$2:$AE$439,6,FALSE))</f>
        <v>1.4</v>
      </c>
      <c r="AA143" s="1">
        <f>ROUND((Z143/6)*Weightings!$M$7,1)</f>
        <v>0.1</v>
      </c>
      <c r="AB143" s="2">
        <f>IF(ISNA(VLOOKUP($CZ143,'Audit Values'!$A$2:$AE$439,2,FALSE)),'Preliminary SO66'!H140,VLOOKUP($CZ143,'Audit Values'!$A$2:$AE$439,8,FALSE))</f>
        <v>268</v>
      </c>
      <c r="AC143" s="1">
        <f>ROUND(AB143*Weightings!$M$8,1)</f>
        <v>122.2</v>
      </c>
      <c r="AD143" s="1">
        <f t="shared" si="197"/>
        <v>28.1</v>
      </c>
      <c r="AE143" s="185">
        <v>32</v>
      </c>
      <c r="AF143" s="1">
        <f>AE143*Weightings!$M$9</f>
        <v>1.5</v>
      </c>
      <c r="AG143" s="1">
        <f>IF(ISNA(VLOOKUP($CZ143,'Audit Values'!$A$2:$AE$439,2,FALSE)),'Preliminary SO66'!L140,VLOOKUP($CZ143,'Audit Values'!$A$2:$AE$439,12,FALSE))</f>
        <v>0</v>
      </c>
      <c r="AH143" s="1">
        <f>ROUND(AG143*Weightings!$M$10,1)</f>
        <v>0</v>
      </c>
      <c r="AI143" s="1">
        <f>IF(ISNA(VLOOKUP($CZ143,'Audit Values'!$A$2:$AE$439,2,FALSE)),'Preliminary SO66'!O140,VLOOKUP($CZ143,'Audit Values'!$A$2:$AE$439,15,FALSE))</f>
        <v>311</v>
      </c>
      <c r="AJ143" s="1">
        <f t="shared" si="210"/>
        <v>80.7</v>
      </c>
      <c r="AK143" s="1">
        <f>CC143/Weightings!$M$5</f>
        <v>0</v>
      </c>
      <c r="AL143" s="1">
        <f>CD143/Weightings!$M$5</f>
        <v>0</v>
      </c>
      <c r="AM143" s="1">
        <f>CH143/Weightings!$M$5</f>
        <v>0</v>
      </c>
      <c r="AN143" s="1">
        <f t="shared" si="211"/>
        <v>0.9</v>
      </c>
      <c r="AO143" s="1">
        <f>IF(ISNA(VLOOKUP($CZ143,'Audit Values'!$A$2:$AE$439,2,FALSE)),'Preliminary SO66'!X140,VLOOKUP($CZ143,'Audit Values'!$A$2:$AE$439,24,FALSE))</f>
        <v>0</v>
      </c>
      <c r="AP143" s="188">
        <v>385515.99999999994</v>
      </c>
      <c r="AQ143" s="113">
        <f>AP143/Weightings!$M$5</f>
        <v>100.4</v>
      </c>
      <c r="AR143" s="113">
        <f t="shared" si="212"/>
        <v>992.2</v>
      </c>
      <c r="AS143" s="1">
        <f t="shared" si="213"/>
        <v>1092.5999999999999</v>
      </c>
      <c r="AT143" s="1">
        <f t="shared" si="214"/>
        <v>1092.5999999999999</v>
      </c>
      <c r="AU143" s="2">
        <f t="shared" si="231"/>
        <v>0</v>
      </c>
      <c r="AV143" s="82">
        <f>IF(ISNA(VLOOKUP($CZ143,'Audit Values'!$A$2:$AC$360,2,FALSE)),"",IF(AND(Weightings!H143&gt;0,VLOOKUP($CZ143,'Audit Values'!$A$2:$AC$360,29,FALSE)&lt;Weightings!H143),Weightings!H143,VLOOKUP($CZ143,'Audit Values'!$A$2:$AC$360,29,FALSE)))</f>
        <v>1</v>
      </c>
      <c r="AW143" s="82" t="str">
        <f>IF(ISNA(VLOOKUP($CZ143,'Audit Values'!$A$2:$AD$360,2,FALSE)),"",VLOOKUP($CZ143,'Audit Values'!$A$2:$AD$360,30,FALSE))</f>
        <v>A</v>
      </c>
      <c r="AX143" s="82" t="str">
        <f>IF(Weightings!G143="","",IF(Weightings!I143="Pending","PX","R"))</f>
        <v/>
      </c>
      <c r="AY143" s="114">
        <f>AR143*Weightings!$M$5+AU143</f>
        <v>3808064</v>
      </c>
      <c r="AZ143" s="2">
        <f>AT143*Weightings!$M$5+AU143</f>
        <v>4193399</v>
      </c>
      <c r="BA143" s="2">
        <f>IF(Weightings!G143&gt;0,Weightings!G143,'Preliminary SO66'!AB140)</f>
        <v>4551868</v>
      </c>
      <c r="BB143" s="2">
        <f t="shared" si="215"/>
        <v>4193399</v>
      </c>
      <c r="BC143" s="124"/>
      <c r="BD143" s="124">
        <f>Weightings!E143</f>
        <v>0</v>
      </c>
      <c r="BE143" s="124">
        <f>Weightings!F143</f>
        <v>0</v>
      </c>
      <c r="BF143" s="2">
        <f t="shared" si="216"/>
        <v>0</v>
      </c>
      <c r="BG143" s="2">
        <f t="shared" si="217"/>
        <v>4193399</v>
      </c>
      <c r="BH143" s="2">
        <f>MAX(ROUND(((AR143-AO143)*4433)+AP143,0),ROUND(((AR143-AO143)*4433)+Weightings!B143,0))</f>
        <v>4885452</v>
      </c>
      <c r="BI143" s="174">
        <v>0.3</v>
      </c>
      <c r="BJ143" s="2">
        <f t="shared" si="191"/>
        <v>1465636</v>
      </c>
      <c r="BK143" s="173">
        <v>1575485</v>
      </c>
      <c r="BL143" s="2">
        <f t="shared" si="194"/>
        <v>1465636</v>
      </c>
      <c r="BM143" s="3">
        <f t="shared" si="232"/>
        <v>0.3</v>
      </c>
      <c r="BN143" s="1">
        <f t="shared" si="218"/>
        <v>0</v>
      </c>
      <c r="BO143" s="4" t="b">
        <f t="shared" si="219"/>
        <v>0</v>
      </c>
      <c r="BP143" s="5">
        <f t="shared" si="220"/>
        <v>0</v>
      </c>
      <c r="BQ143" s="6">
        <f t="shared" si="195"/>
        <v>0</v>
      </c>
      <c r="BR143" s="4">
        <f t="shared" si="221"/>
        <v>0</v>
      </c>
      <c r="BS143" s="4" t="b">
        <f t="shared" si="222"/>
        <v>1</v>
      </c>
      <c r="BT143" s="4">
        <f t="shared" si="223"/>
        <v>281.28379999999999</v>
      </c>
      <c r="BU143" s="6">
        <f t="shared" si="196"/>
        <v>0.40696100000000002</v>
      </c>
      <c r="BV143" s="1">
        <f t="shared" si="224"/>
        <v>214.6</v>
      </c>
      <c r="BW143" s="1">
        <f t="shared" si="225"/>
        <v>0</v>
      </c>
      <c r="BX143" s="116">
        <v>302</v>
      </c>
      <c r="BY143" s="7">
        <f t="shared" si="233"/>
        <v>1.03</v>
      </c>
      <c r="BZ143" s="7">
        <f>IF(ROUND((Weightings!$P$5*BY143^Weightings!$P$6*Weightings!$P$8 ),2)&lt;Weightings!$P$7,Weightings!$P$7,ROUND((Weightings!$P$5*BY143^Weightings!$P$6*Weightings!$P$8 ),2))</f>
        <v>995.51</v>
      </c>
      <c r="CA143" s="8">
        <f>ROUND(BZ143/Weightings!$M$5,4)</f>
        <v>0.25940000000000002</v>
      </c>
      <c r="CB143" s="1">
        <f t="shared" si="234"/>
        <v>80.7</v>
      </c>
      <c r="CC143" s="173">
        <v>0</v>
      </c>
      <c r="CD143" s="173">
        <v>0</v>
      </c>
      <c r="CE143" s="173">
        <v>0</v>
      </c>
      <c r="CF143" s="177">
        <v>0</v>
      </c>
      <c r="CG143" s="2">
        <f>AS143*Weightings!$M$5*CF143</f>
        <v>0</v>
      </c>
      <c r="CH143" s="2">
        <f t="shared" si="198"/>
        <v>0</v>
      </c>
      <c r="CI143" s="117">
        <f t="shared" si="226"/>
        <v>0.50800000000000001</v>
      </c>
      <c r="CJ143" s="4">
        <f t="shared" si="227"/>
        <v>1.7</v>
      </c>
      <c r="CK143" s="1">
        <f t="shared" si="235"/>
        <v>28.1</v>
      </c>
      <c r="CL143" s="1">
        <f t="shared" si="236"/>
        <v>0</v>
      </c>
      <c r="CM143" s="1">
        <f t="shared" si="237"/>
        <v>0</v>
      </c>
      <c r="CN143" s="1">
        <f>IF(ISNA(VLOOKUP($CZ143,'Audit Values'!$A$2:$AE$439,2,FALSE)),'Preliminary SO66'!T140,VLOOKUP($CZ143,'Audit Values'!$A$2:$AE$439,20,FALSE))</f>
        <v>0.9</v>
      </c>
      <c r="CO143" s="1">
        <f t="shared" si="228"/>
        <v>0.9</v>
      </c>
      <c r="CP143" s="183">
        <v>0</v>
      </c>
      <c r="CQ143" s="1">
        <f t="shared" si="229"/>
        <v>0</v>
      </c>
      <c r="CR143" s="2">
        <f>IF(ISNA(VLOOKUP($CZ143,'Audit Values'!$A$2:$AE$439,2,FALSE)),'Preliminary SO66'!V140,VLOOKUP($CZ143,'Audit Values'!$A$2:$AE$439,22,FALSE))</f>
        <v>0</v>
      </c>
      <c r="CS143" s="1">
        <f t="shared" si="230"/>
        <v>0</v>
      </c>
      <c r="CT143" s="2">
        <f>IF(ISNA(VLOOKUP($CZ143,'Audit Values'!$A$2:$AE$439,2,FALSE)),'Preliminary SO66'!W140,VLOOKUP($CZ143,'Audit Values'!$A$2:$AE$439,23,FALSE))</f>
        <v>0</v>
      </c>
      <c r="CU143" s="1">
        <f t="shared" si="192"/>
        <v>0</v>
      </c>
      <c r="CV143" s="1">
        <f t="shared" si="193"/>
        <v>0.9</v>
      </c>
      <c r="CW143" s="176">
        <v>0</v>
      </c>
      <c r="CX143" s="2">
        <f>IF(CW143&gt;0,Weightings!$M$11*AR143,0)</f>
        <v>0</v>
      </c>
      <c r="CY143" s="2">
        <f t="shared" si="238"/>
        <v>0</v>
      </c>
      <c r="CZ143" s="108" t="s">
        <v>435</v>
      </c>
    </row>
    <row r="144" spans="1:104">
      <c r="A144" s="82">
        <v>347</v>
      </c>
      <c r="B144" s="4" t="s">
        <v>64</v>
      </c>
      <c r="C144" s="4" t="s">
        <v>771</v>
      </c>
      <c r="D144" s="1">
        <v>354.5</v>
      </c>
      <c r="E144" s="1">
        <v>0</v>
      </c>
      <c r="F144" s="1">
        <f t="shared" si="187"/>
        <v>354.5</v>
      </c>
      <c r="G144" s="1">
        <v>339.5</v>
      </c>
      <c r="H144" s="1">
        <v>0</v>
      </c>
      <c r="I144" s="1">
        <f t="shared" si="201"/>
        <v>339.5</v>
      </c>
      <c r="J144" s="1">
        <f t="shared" si="202"/>
        <v>351.5</v>
      </c>
      <c r="K144" s="1">
        <f>IF(ISNA(VLOOKUP($CZ144,'Audit Values'!$A$2:$AE$439,2,FALSE)),'Preliminary SO66'!B141,VLOOKUP($CZ144,'Audit Values'!$A$2:$AE$439,31,FALSE))</f>
        <v>351.5</v>
      </c>
      <c r="L144" s="1">
        <f t="shared" si="203"/>
        <v>351.5</v>
      </c>
      <c r="M144" s="1">
        <f>IF(ISNA(VLOOKUP($CZ144,'Audit Values'!$A$2:$AE$439,2,FALSE)),'Preliminary SO66'!Z141,VLOOKUP($CZ144,'Audit Values'!$A$2:$AE$439,26,FALSE))</f>
        <v>0</v>
      </c>
      <c r="N144" s="1">
        <f t="shared" si="204"/>
        <v>351.5</v>
      </c>
      <c r="O144" s="1">
        <f>IF(ISNA(VLOOKUP($CZ144,'Audit Values'!$A$2:$AE$439,2,FALSE)),'Preliminary SO66'!C141,IF(VLOOKUP($CZ144,'Audit Values'!$A$2:$AE$439,28,FALSE)="",VLOOKUP($CZ144,'Audit Values'!$A$2:$AE$439,3,FALSE),VLOOKUP($CZ144,'Audit Values'!$A$2:$AE$439,28,FALSE)))</f>
        <v>5</v>
      </c>
      <c r="P144" s="109">
        <f t="shared" si="205"/>
        <v>356.5</v>
      </c>
      <c r="Q144" s="110">
        <f t="shared" si="206"/>
        <v>356.5</v>
      </c>
      <c r="R144" s="111">
        <f t="shared" si="207"/>
        <v>356.5</v>
      </c>
      <c r="S144" s="1">
        <f t="shared" si="208"/>
        <v>356.5</v>
      </c>
      <c r="T144" s="1">
        <f t="shared" si="239"/>
        <v>0</v>
      </c>
      <c r="U144" s="1">
        <f t="shared" si="209"/>
        <v>165.8</v>
      </c>
      <c r="V144" s="1">
        <f t="shared" si="199"/>
        <v>165.8</v>
      </c>
      <c r="W144" s="1">
        <f t="shared" si="200"/>
        <v>0</v>
      </c>
      <c r="X144" s="1">
        <f>IF(ISNA(VLOOKUP($CZ144,'Audit Values'!$A$2:$AE$439,2,FALSE)),'Preliminary SO66'!D141,VLOOKUP($CZ144,'Audit Values'!$A$2:$AE$439,4,FALSE))</f>
        <v>137</v>
      </c>
      <c r="Y144" s="1">
        <f>ROUND((X144/6)*Weightings!$M$6,1)</f>
        <v>11.4</v>
      </c>
      <c r="Z144" s="1">
        <f>IF(ISNA(VLOOKUP($CZ144,'Audit Values'!$A$2:$AE$439,2,FALSE)),'Preliminary SO66'!F141,VLOOKUP($CZ144,'Audit Values'!$A$2:$AE$439,6,FALSE))</f>
        <v>292.10000000000002</v>
      </c>
      <c r="AA144" s="1">
        <f>ROUND((Z144/6)*Weightings!$M$7,1)</f>
        <v>19.2</v>
      </c>
      <c r="AB144" s="2">
        <f>IF(ISNA(VLOOKUP($CZ144,'Audit Values'!$A$2:$AE$439,2,FALSE)),'Preliminary SO66'!H141,VLOOKUP($CZ144,'Audit Values'!$A$2:$AE$439,8,FALSE))</f>
        <v>162</v>
      </c>
      <c r="AC144" s="1">
        <f>ROUND(AB144*Weightings!$M$8,1)</f>
        <v>73.900000000000006</v>
      </c>
      <c r="AD144" s="1">
        <f t="shared" si="197"/>
        <v>11.8</v>
      </c>
      <c r="AE144" s="185">
        <v>32</v>
      </c>
      <c r="AF144" s="1">
        <f>AE144*Weightings!$M$9</f>
        <v>1.5</v>
      </c>
      <c r="AG144" s="1">
        <f>IF(ISNA(VLOOKUP($CZ144,'Audit Values'!$A$2:$AE$439,2,FALSE)),'Preliminary SO66'!L141,VLOOKUP($CZ144,'Audit Values'!$A$2:$AE$439,12,FALSE))</f>
        <v>0</v>
      </c>
      <c r="AH144" s="1">
        <f>ROUND(AG144*Weightings!$M$10,1)</f>
        <v>0</v>
      </c>
      <c r="AI144" s="1">
        <f>IF(ISNA(VLOOKUP($CZ144,'Audit Values'!$A$2:$AE$439,2,FALSE)),'Preliminary SO66'!O141,VLOOKUP($CZ144,'Audit Values'!$A$2:$AE$439,15,FALSE))</f>
        <v>185</v>
      </c>
      <c r="AJ144" s="1">
        <f t="shared" si="210"/>
        <v>55.6</v>
      </c>
      <c r="AK144" s="1">
        <f>CC144/Weightings!$M$5</f>
        <v>0</v>
      </c>
      <c r="AL144" s="1">
        <f>CD144/Weightings!$M$5</f>
        <v>0</v>
      </c>
      <c r="AM144" s="1">
        <f>CH144/Weightings!$M$5</f>
        <v>0</v>
      </c>
      <c r="AN144" s="1">
        <f t="shared" si="211"/>
        <v>0</v>
      </c>
      <c r="AO144" s="1">
        <f>IF(ISNA(VLOOKUP($CZ144,'Audit Values'!$A$2:$AE$439,2,FALSE)),'Preliminary SO66'!X141,VLOOKUP($CZ144,'Audit Values'!$A$2:$AE$439,24,FALSE))</f>
        <v>0</v>
      </c>
      <c r="AP144" s="188">
        <v>399385</v>
      </c>
      <c r="AQ144" s="113">
        <f>AP144/Weightings!$M$5</f>
        <v>104.1</v>
      </c>
      <c r="AR144" s="113">
        <f t="shared" si="212"/>
        <v>695.7</v>
      </c>
      <c r="AS144" s="1">
        <f t="shared" si="213"/>
        <v>799.8</v>
      </c>
      <c r="AT144" s="1">
        <f t="shared" si="214"/>
        <v>799.8</v>
      </c>
      <c r="AU144" s="2">
        <f t="shared" si="231"/>
        <v>0</v>
      </c>
      <c r="AV144" s="82">
        <f>IF(ISNA(VLOOKUP($CZ144,'Audit Values'!$A$2:$AC$360,2,FALSE)),"",IF(AND(Weightings!H144&gt;0,VLOOKUP($CZ144,'Audit Values'!$A$2:$AC$360,29,FALSE)&lt;Weightings!H144),Weightings!H144,VLOOKUP($CZ144,'Audit Values'!$A$2:$AC$360,29,FALSE)))</f>
        <v>27</v>
      </c>
      <c r="AW144" s="82" t="str">
        <f>IF(ISNA(VLOOKUP($CZ144,'Audit Values'!$A$2:$AD$360,2,FALSE)),"",VLOOKUP($CZ144,'Audit Values'!$A$2:$AD$360,30,FALSE))</f>
        <v>A</v>
      </c>
      <c r="AX144" s="82" t="str">
        <f>IF(Weightings!G144="","",IF(Weightings!I144="Pending","PX","R"))</f>
        <v>R</v>
      </c>
      <c r="AY144" s="114">
        <f>AR144*Weightings!$M$5+AU144</f>
        <v>2670097</v>
      </c>
      <c r="AZ144" s="2">
        <f>AT144*Weightings!$M$5+AU144</f>
        <v>3069632</v>
      </c>
      <c r="BA144" s="2">
        <f>IF(Weightings!G144&gt;0,Weightings!G144,'Preliminary SO66'!AB141)</f>
        <v>3250402</v>
      </c>
      <c r="BB144" s="2">
        <f t="shared" si="215"/>
        <v>3069632</v>
      </c>
      <c r="BC144" s="124"/>
      <c r="BD144" s="124">
        <f>Weightings!E144</f>
        <v>0</v>
      </c>
      <c r="BE144" s="124">
        <f>Weightings!F144</f>
        <v>0</v>
      </c>
      <c r="BF144" s="2">
        <f t="shared" si="216"/>
        <v>0</v>
      </c>
      <c r="BG144" s="2">
        <f t="shared" si="217"/>
        <v>3069632</v>
      </c>
      <c r="BH144" s="2">
        <f>MAX(ROUND(((AR144-AO144)*4433)+AP144,0),ROUND(((AR144-AO144)*4433)+Weightings!B144,0))</f>
        <v>3483423</v>
      </c>
      <c r="BI144" s="174">
        <v>0.3</v>
      </c>
      <c r="BJ144" s="2">
        <f t="shared" si="191"/>
        <v>1045027</v>
      </c>
      <c r="BK144" s="173">
        <v>1023750</v>
      </c>
      <c r="BL144" s="2">
        <f t="shared" si="194"/>
        <v>1023750</v>
      </c>
      <c r="BM144" s="3">
        <f t="shared" si="232"/>
        <v>0.29389999999999999</v>
      </c>
      <c r="BN144" s="1">
        <f t="shared" si="218"/>
        <v>0</v>
      </c>
      <c r="BO144" s="4" t="b">
        <f t="shared" si="219"/>
        <v>0</v>
      </c>
      <c r="BP144" s="5">
        <f t="shared" si="220"/>
        <v>0</v>
      </c>
      <c r="BQ144" s="6">
        <f t="shared" si="195"/>
        <v>0</v>
      </c>
      <c r="BR144" s="4">
        <f t="shared" si="221"/>
        <v>0</v>
      </c>
      <c r="BS144" s="4" t="b">
        <f t="shared" si="222"/>
        <v>1</v>
      </c>
      <c r="BT144" s="4">
        <f t="shared" si="223"/>
        <v>69.918800000000005</v>
      </c>
      <c r="BU144" s="6">
        <f t="shared" si="196"/>
        <v>0.46499000000000001</v>
      </c>
      <c r="BV144" s="1">
        <f t="shared" si="224"/>
        <v>165.8</v>
      </c>
      <c r="BW144" s="1">
        <f t="shared" si="225"/>
        <v>0</v>
      </c>
      <c r="BX144" s="116">
        <v>340</v>
      </c>
      <c r="BY144" s="7">
        <f t="shared" si="233"/>
        <v>0.54</v>
      </c>
      <c r="BZ144" s="7">
        <f>IF(ROUND((Weightings!$P$5*BY144^Weightings!$P$6*Weightings!$P$8 ),2)&lt;Weightings!$P$7,Weightings!$P$7,ROUND((Weightings!$P$5*BY144^Weightings!$P$6*Weightings!$P$8 ),2))</f>
        <v>1153.49</v>
      </c>
      <c r="CA144" s="8">
        <f>ROUND(BZ144/Weightings!$M$5,4)</f>
        <v>0.30049999999999999</v>
      </c>
      <c r="CB144" s="1">
        <f t="shared" si="234"/>
        <v>55.6</v>
      </c>
      <c r="CC144" s="173">
        <v>0</v>
      </c>
      <c r="CD144" s="173">
        <v>0</v>
      </c>
      <c r="CE144" s="173">
        <v>0</v>
      </c>
      <c r="CF144" s="177">
        <v>0</v>
      </c>
      <c r="CG144" s="2">
        <f>AS144*Weightings!$M$5*CF144</f>
        <v>0</v>
      </c>
      <c r="CH144" s="2">
        <f t="shared" si="198"/>
        <v>0</v>
      </c>
      <c r="CI144" s="117">
        <f t="shared" si="226"/>
        <v>0.45400000000000001</v>
      </c>
      <c r="CJ144" s="4">
        <f t="shared" si="227"/>
        <v>1</v>
      </c>
      <c r="CK144" s="1">
        <f t="shared" si="235"/>
        <v>0</v>
      </c>
      <c r="CL144" s="1">
        <f t="shared" si="236"/>
        <v>0</v>
      </c>
      <c r="CM144" s="1">
        <f t="shared" si="237"/>
        <v>11.8</v>
      </c>
      <c r="CN144" s="1">
        <f>IF(ISNA(VLOOKUP($CZ144,'Audit Values'!$A$2:$AE$439,2,FALSE)),'Preliminary SO66'!T141,VLOOKUP($CZ144,'Audit Values'!$A$2:$AE$439,20,FALSE))</f>
        <v>0</v>
      </c>
      <c r="CO144" s="1">
        <f t="shared" si="228"/>
        <v>0</v>
      </c>
      <c r="CP144" s="183">
        <v>0</v>
      </c>
      <c r="CQ144" s="1">
        <f t="shared" si="229"/>
        <v>0</v>
      </c>
      <c r="CR144" s="2">
        <f>IF(ISNA(VLOOKUP($CZ144,'Audit Values'!$A$2:$AE$439,2,FALSE)),'Preliminary SO66'!V141,VLOOKUP($CZ144,'Audit Values'!$A$2:$AE$439,22,FALSE))</f>
        <v>0</v>
      </c>
      <c r="CS144" s="1">
        <f t="shared" si="230"/>
        <v>0</v>
      </c>
      <c r="CT144" s="2">
        <f>IF(ISNA(VLOOKUP($CZ144,'Audit Values'!$A$2:$AE$439,2,FALSE)),'Preliminary SO66'!W141,VLOOKUP($CZ144,'Audit Values'!$A$2:$AE$439,23,FALSE))</f>
        <v>0</v>
      </c>
      <c r="CU144" s="1">
        <f t="shared" si="192"/>
        <v>0</v>
      </c>
      <c r="CV144" s="1">
        <f t="shared" si="193"/>
        <v>0</v>
      </c>
      <c r="CW144" s="176">
        <v>0</v>
      </c>
      <c r="CX144" s="2">
        <f>IF(CW144&gt;0,Weightings!$M$11*AR144,0)</f>
        <v>0</v>
      </c>
      <c r="CY144" s="2">
        <f t="shared" si="238"/>
        <v>0</v>
      </c>
      <c r="CZ144" s="108" t="s">
        <v>436</v>
      </c>
    </row>
    <row r="145" spans="1:104">
      <c r="A145" s="82">
        <v>348</v>
      </c>
      <c r="B145" s="4" t="s">
        <v>65</v>
      </c>
      <c r="C145" s="4" t="s">
        <v>772</v>
      </c>
      <c r="D145" s="1">
        <v>1321.2</v>
      </c>
      <c r="E145" s="1">
        <v>0</v>
      </c>
      <c r="F145" s="1">
        <f t="shared" si="187"/>
        <v>1321.2</v>
      </c>
      <c r="G145" s="1">
        <v>1311.2</v>
      </c>
      <c r="H145" s="1">
        <v>0</v>
      </c>
      <c r="I145" s="1">
        <f t="shared" si="201"/>
        <v>1311.2</v>
      </c>
      <c r="J145" s="1">
        <f t="shared" si="202"/>
        <v>1327</v>
      </c>
      <c r="K145" s="1">
        <f>IF(ISNA(VLOOKUP($CZ145,'Audit Values'!$A$2:$AE$439,2,FALSE)),'Preliminary SO66'!B142,VLOOKUP($CZ145,'Audit Values'!$A$2:$AE$439,31,FALSE))</f>
        <v>1326</v>
      </c>
      <c r="L145" s="1">
        <f t="shared" si="203"/>
        <v>1326</v>
      </c>
      <c r="M145" s="1">
        <f>IF(ISNA(VLOOKUP($CZ145,'Audit Values'!$A$2:$AE$439,2,FALSE)),'Preliminary SO66'!Z142,VLOOKUP($CZ145,'Audit Values'!$A$2:$AE$439,26,FALSE))</f>
        <v>0</v>
      </c>
      <c r="N145" s="1">
        <f t="shared" si="204"/>
        <v>1326</v>
      </c>
      <c r="O145" s="1">
        <f>IF(ISNA(VLOOKUP($CZ145,'Audit Values'!$A$2:$AE$439,2,FALSE)),'Preliminary SO66'!C142,IF(VLOOKUP($CZ145,'Audit Values'!$A$2:$AE$439,28,FALSE)="",VLOOKUP($CZ145,'Audit Values'!$A$2:$AE$439,3,FALSE),VLOOKUP($CZ145,'Audit Values'!$A$2:$AE$439,28,FALSE)))</f>
        <v>15.5</v>
      </c>
      <c r="P145" s="109">
        <f t="shared" si="205"/>
        <v>1341.5</v>
      </c>
      <c r="Q145" s="110">
        <f t="shared" si="206"/>
        <v>1342.5</v>
      </c>
      <c r="R145" s="111">
        <f t="shared" si="207"/>
        <v>1342.5</v>
      </c>
      <c r="S145" s="1">
        <f t="shared" si="208"/>
        <v>1341.5</v>
      </c>
      <c r="T145" s="1">
        <f t="shared" si="239"/>
        <v>1</v>
      </c>
      <c r="U145" s="1">
        <f t="shared" si="209"/>
        <v>174.8</v>
      </c>
      <c r="V145" s="1">
        <f t="shared" si="199"/>
        <v>174.8</v>
      </c>
      <c r="W145" s="1">
        <f t="shared" si="200"/>
        <v>0</v>
      </c>
      <c r="X145" s="1">
        <f>IF(ISNA(VLOOKUP($CZ145,'Audit Values'!$A$2:$AE$439,2,FALSE)),'Preliminary SO66'!D142,VLOOKUP($CZ145,'Audit Values'!$A$2:$AE$439,4,FALSE))</f>
        <v>269.39999999999998</v>
      </c>
      <c r="Y145" s="1">
        <f>ROUND((X145/6)*Weightings!$M$6,1)</f>
        <v>22.5</v>
      </c>
      <c r="Z145" s="1">
        <f>IF(ISNA(VLOOKUP($CZ145,'Audit Values'!$A$2:$AE$439,2,FALSE)),'Preliminary SO66'!F142,VLOOKUP($CZ145,'Audit Values'!$A$2:$AE$439,6,FALSE))</f>
        <v>4.4000000000000004</v>
      </c>
      <c r="AA145" s="1">
        <f>ROUND((Z145/6)*Weightings!$M$7,1)</f>
        <v>0.3</v>
      </c>
      <c r="AB145" s="2">
        <f>IF(ISNA(VLOOKUP($CZ145,'Audit Values'!$A$2:$AE$439,2,FALSE)),'Preliminary SO66'!H142,VLOOKUP($CZ145,'Audit Values'!$A$2:$AE$439,8,FALSE))</f>
        <v>377</v>
      </c>
      <c r="AC145" s="1">
        <f>ROUND(AB145*Weightings!$M$8,1)</f>
        <v>171.9</v>
      </c>
      <c r="AD145" s="1">
        <f t="shared" si="197"/>
        <v>0</v>
      </c>
      <c r="AE145" s="185">
        <v>116</v>
      </c>
      <c r="AF145" s="1">
        <f>AE145*Weightings!$M$9</f>
        <v>5.4</v>
      </c>
      <c r="AG145" s="1">
        <f>IF(ISNA(VLOOKUP($CZ145,'Audit Values'!$A$2:$AE$439,2,FALSE)),'Preliminary SO66'!L142,VLOOKUP($CZ145,'Audit Values'!$A$2:$AE$439,12,FALSE))</f>
        <v>0</v>
      </c>
      <c r="AH145" s="1">
        <f>ROUND(AG145*Weightings!$M$10,1)</f>
        <v>0</v>
      </c>
      <c r="AI145" s="1">
        <f>IF(ISNA(VLOOKUP($CZ145,'Audit Values'!$A$2:$AE$439,2,FALSE)),'Preliminary SO66'!O142,VLOOKUP($CZ145,'Audit Values'!$A$2:$AE$439,15,FALSE))</f>
        <v>466.5</v>
      </c>
      <c r="AJ145" s="1">
        <f t="shared" si="210"/>
        <v>92.4</v>
      </c>
      <c r="AK145" s="1">
        <f>CC145/Weightings!$M$5</f>
        <v>0</v>
      </c>
      <c r="AL145" s="1">
        <f>CD145/Weightings!$M$5</f>
        <v>0</v>
      </c>
      <c r="AM145" s="1">
        <f>CH145/Weightings!$M$5</f>
        <v>0</v>
      </c>
      <c r="AN145" s="1">
        <f t="shared" si="211"/>
        <v>1.1000000000000001</v>
      </c>
      <c r="AO145" s="1">
        <f>IF(ISNA(VLOOKUP($CZ145,'Audit Values'!$A$2:$AE$439,2,FALSE)),'Preliminary SO66'!X142,VLOOKUP($CZ145,'Audit Values'!$A$2:$AE$439,24,FALSE))</f>
        <v>1</v>
      </c>
      <c r="AP145" s="188">
        <v>1346892</v>
      </c>
      <c r="AQ145" s="113">
        <f>AP145/Weightings!$M$5</f>
        <v>350.9</v>
      </c>
      <c r="AR145" s="113">
        <f t="shared" si="212"/>
        <v>1810.9</v>
      </c>
      <c r="AS145" s="1">
        <f t="shared" si="213"/>
        <v>2161.8000000000002</v>
      </c>
      <c r="AT145" s="1">
        <f t="shared" si="214"/>
        <v>2161.8000000000002</v>
      </c>
      <c r="AU145" s="2">
        <f t="shared" si="231"/>
        <v>0</v>
      </c>
      <c r="AV145" s="82">
        <f>IF(ISNA(VLOOKUP($CZ145,'Audit Values'!$A$2:$AC$360,2,FALSE)),"",IF(AND(Weightings!H145&gt;0,VLOOKUP($CZ145,'Audit Values'!$A$2:$AC$360,29,FALSE)&lt;Weightings!H145),Weightings!H145,VLOOKUP($CZ145,'Audit Values'!$A$2:$AC$360,29,FALSE)))</f>
        <v>23</v>
      </c>
      <c r="AW145" s="82" t="str">
        <f>IF(ISNA(VLOOKUP($CZ145,'Audit Values'!$A$2:$AD$360,2,FALSE)),"",VLOOKUP($CZ145,'Audit Values'!$A$2:$AD$360,30,FALSE))</f>
        <v>A</v>
      </c>
      <c r="AX145" s="82" t="str">
        <f>IF(Weightings!G145="","",IF(Weightings!I145="Pending","PX","R"))</f>
        <v>R</v>
      </c>
      <c r="AY145" s="114">
        <f>AR145*Weightings!$M$5+AU145</f>
        <v>6950234</v>
      </c>
      <c r="AZ145" s="2">
        <f>AT145*Weightings!$M$5+AU145</f>
        <v>8296988</v>
      </c>
      <c r="BA145" s="2">
        <f>IF(Weightings!G145&gt;0,Weightings!G145,'Preliminary SO66'!AB142)</f>
        <v>8462128</v>
      </c>
      <c r="BB145" s="2">
        <f t="shared" si="215"/>
        <v>8296988</v>
      </c>
      <c r="BC145" s="124"/>
      <c r="BD145" s="124">
        <f>Weightings!E145</f>
        <v>0</v>
      </c>
      <c r="BE145" s="124">
        <f>Weightings!F145</f>
        <v>0</v>
      </c>
      <c r="BF145" s="2">
        <f t="shared" si="216"/>
        <v>0</v>
      </c>
      <c r="BG145" s="2">
        <f t="shared" si="217"/>
        <v>8296988</v>
      </c>
      <c r="BH145" s="2">
        <f>MAX(ROUND(((AR145-AO145)*4433)+AP145,0),ROUND(((AR145-AO145)*4433)+Weightings!B145,0))</f>
        <v>9370179</v>
      </c>
      <c r="BI145" s="174">
        <v>0.3</v>
      </c>
      <c r="BJ145" s="2">
        <f t="shared" si="191"/>
        <v>2811054</v>
      </c>
      <c r="BK145" s="173">
        <v>2845910</v>
      </c>
      <c r="BL145" s="2">
        <f t="shared" si="194"/>
        <v>2811054</v>
      </c>
      <c r="BM145" s="3">
        <f t="shared" si="232"/>
        <v>0.3</v>
      </c>
      <c r="BN145" s="1">
        <f t="shared" si="218"/>
        <v>0</v>
      </c>
      <c r="BO145" s="4" t="b">
        <f t="shared" si="219"/>
        <v>0</v>
      </c>
      <c r="BP145" s="5">
        <f t="shared" si="220"/>
        <v>0</v>
      </c>
      <c r="BQ145" s="6">
        <f t="shared" si="195"/>
        <v>0</v>
      </c>
      <c r="BR145" s="4">
        <f t="shared" si="221"/>
        <v>0</v>
      </c>
      <c r="BS145" s="4" t="b">
        <f t="shared" si="222"/>
        <v>1</v>
      </c>
      <c r="BT145" s="4">
        <f t="shared" si="223"/>
        <v>1288.8562999999999</v>
      </c>
      <c r="BU145" s="6">
        <f t="shared" si="196"/>
        <v>0.13033800000000001</v>
      </c>
      <c r="BV145" s="1">
        <f t="shared" si="224"/>
        <v>174.8</v>
      </c>
      <c r="BW145" s="1">
        <f t="shared" si="225"/>
        <v>0</v>
      </c>
      <c r="BX145" s="116">
        <v>139</v>
      </c>
      <c r="BY145" s="7">
        <f t="shared" si="233"/>
        <v>3.36</v>
      </c>
      <c r="BZ145" s="7">
        <f>IF(ROUND((Weightings!$P$5*BY145^Weightings!$P$6*Weightings!$P$8 ),2)&lt;Weightings!$P$7,Weightings!$P$7,ROUND((Weightings!$P$5*BY145^Weightings!$P$6*Weightings!$P$8 ),2))</f>
        <v>760.18</v>
      </c>
      <c r="CA145" s="8">
        <f>ROUND(BZ145/Weightings!$M$5,4)</f>
        <v>0.1981</v>
      </c>
      <c r="CB145" s="1">
        <f t="shared" si="234"/>
        <v>92.4</v>
      </c>
      <c r="CC145" s="173">
        <v>0</v>
      </c>
      <c r="CD145" s="173">
        <v>0</v>
      </c>
      <c r="CE145" s="173">
        <v>0</v>
      </c>
      <c r="CF145" s="177">
        <v>1.3100000000000001E-2</v>
      </c>
      <c r="CG145" s="2">
        <f>AS145*Weightings!$M$5*CF145</f>
        <v>108691</v>
      </c>
      <c r="CH145" s="2">
        <f t="shared" si="198"/>
        <v>0</v>
      </c>
      <c r="CI145" s="117">
        <f t="shared" si="226"/>
        <v>0.28100000000000003</v>
      </c>
      <c r="CJ145" s="4">
        <f t="shared" si="227"/>
        <v>9.6999999999999993</v>
      </c>
      <c r="CK145" s="1">
        <f t="shared" si="235"/>
        <v>0</v>
      </c>
      <c r="CL145" s="1">
        <f t="shared" si="236"/>
        <v>0</v>
      </c>
      <c r="CM145" s="1">
        <f t="shared" si="237"/>
        <v>0</v>
      </c>
      <c r="CN145" s="1">
        <f>IF(ISNA(VLOOKUP($CZ145,'Audit Values'!$A$2:$AE$439,2,FALSE)),'Preliminary SO66'!T142,VLOOKUP($CZ145,'Audit Values'!$A$2:$AE$439,20,FALSE))</f>
        <v>1</v>
      </c>
      <c r="CO145" s="1">
        <f t="shared" si="228"/>
        <v>1.1000000000000001</v>
      </c>
      <c r="CP145" s="183">
        <v>0</v>
      </c>
      <c r="CQ145" s="1">
        <f t="shared" si="229"/>
        <v>0</v>
      </c>
      <c r="CR145" s="2">
        <f>IF(ISNA(VLOOKUP($CZ145,'Audit Values'!$A$2:$AE$439,2,FALSE)),'Preliminary SO66'!V142,VLOOKUP($CZ145,'Audit Values'!$A$2:$AE$439,22,FALSE))</f>
        <v>0</v>
      </c>
      <c r="CS145" s="1">
        <f t="shared" si="230"/>
        <v>0</v>
      </c>
      <c r="CT145" s="2">
        <f>IF(ISNA(VLOOKUP($CZ145,'Audit Values'!$A$2:$AE$439,2,FALSE)),'Preliminary SO66'!W142,VLOOKUP($CZ145,'Audit Values'!$A$2:$AE$439,23,FALSE))</f>
        <v>0</v>
      </c>
      <c r="CU145" s="1">
        <f t="shared" si="192"/>
        <v>0</v>
      </c>
      <c r="CV145" s="1">
        <f t="shared" si="193"/>
        <v>1.1000000000000001</v>
      </c>
      <c r="CW145" s="176">
        <v>0</v>
      </c>
      <c r="CX145" s="2">
        <f>IF(CW145&gt;0,Weightings!$M$11*AR145,0)</f>
        <v>0</v>
      </c>
      <c r="CY145" s="2">
        <f t="shared" si="238"/>
        <v>0</v>
      </c>
      <c r="CZ145" s="108" t="s">
        <v>437</v>
      </c>
    </row>
    <row r="146" spans="1:104">
      <c r="A146" s="82">
        <v>349</v>
      </c>
      <c r="B146" s="4" t="s">
        <v>66</v>
      </c>
      <c r="C146" s="4" t="s">
        <v>773</v>
      </c>
      <c r="D146" s="1">
        <v>267.10000000000002</v>
      </c>
      <c r="E146" s="1">
        <v>0</v>
      </c>
      <c r="F146" s="1">
        <f t="shared" si="187"/>
        <v>267.10000000000002</v>
      </c>
      <c r="G146" s="1">
        <v>259.39999999999998</v>
      </c>
      <c r="H146" s="1">
        <v>0</v>
      </c>
      <c r="I146" s="1">
        <f t="shared" si="201"/>
        <v>259.39999999999998</v>
      </c>
      <c r="J146" s="1">
        <f t="shared" si="202"/>
        <v>269.5</v>
      </c>
      <c r="K146" s="1">
        <f>IF(ISNA(VLOOKUP($CZ146,'Audit Values'!$A$2:$AE$439,2,FALSE)),'Preliminary SO66'!B143,VLOOKUP($CZ146,'Audit Values'!$A$2:$AE$439,31,FALSE))</f>
        <v>269.5</v>
      </c>
      <c r="L146" s="1">
        <f t="shared" si="203"/>
        <v>269.5</v>
      </c>
      <c r="M146" s="1">
        <f>IF(ISNA(VLOOKUP($CZ146,'Audit Values'!$A$2:$AE$439,2,FALSE)),'Preliminary SO66'!Z143,VLOOKUP($CZ146,'Audit Values'!$A$2:$AE$439,26,FALSE))</f>
        <v>0</v>
      </c>
      <c r="N146" s="1">
        <f t="shared" si="204"/>
        <v>269.5</v>
      </c>
      <c r="O146" s="1">
        <f>IF(ISNA(VLOOKUP($CZ146,'Audit Values'!$A$2:$AE$439,2,FALSE)),'Preliminary SO66'!C143,IF(VLOOKUP($CZ146,'Audit Values'!$A$2:$AE$439,28,FALSE)="",VLOOKUP($CZ146,'Audit Values'!$A$2:$AE$439,3,FALSE),VLOOKUP($CZ146,'Audit Values'!$A$2:$AE$439,28,FALSE)))</f>
        <v>0</v>
      </c>
      <c r="P146" s="109">
        <f t="shared" si="205"/>
        <v>269.5</v>
      </c>
      <c r="Q146" s="110">
        <f t="shared" si="206"/>
        <v>269.5</v>
      </c>
      <c r="R146" s="111">
        <f t="shared" si="207"/>
        <v>269.5</v>
      </c>
      <c r="S146" s="1">
        <f t="shared" si="208"/>
        <v>269.5</v>
      </c>
      <c r="T146" s="1">
        <f t="shared" si="239"/>
        <v>0</v>
      </c>
      <c r="U146" s="1">
        <f t="shared" si="209"/>
        <v>152.30000000000001</v>
      </c>
      <c r="V146" s="1">
        <f t="shared" si="199"/>
        <v>152.30000000000001</v>
      </c>
      <c r="W146" s="1">
        <f t="shared" si="200"/>
        <v>0</v>
      </c>
      <c r="X146" s="1">
        <f>IF(ISNA(VLOOKUP($CZ146,'Audit Values'!$A$2:$AE$439,2,FALSE)),'Preliminary SO66'!D143,VLOOKUP($CZ146,'Audit Values'!$A$2:$AE$439,4,FALSE))</f>
        <v>112.4</v>
      </c>
      <c r="Y146" s="1">
        <f>ROUND((X146/6)*Weightings!$M$6,1)</f>
        <v>9.4</v>
      </c>
      <c r="Z146" s="1">
        <f>IF(ISNA(VLOOKUP($CZ146,'Audit Values'!$A$2:$AE$439,2,FALSE)),'Preliminary SO66'!F143,VLOOKUP($CZ146,'Audit Values'!$A$2:$AE$439,6,FALSE))</f>
        <v>48.1</v>
      </c>
      <c r="AA146" s="1">
        <f>ROUND((Z146/6)*Weightings!$M$7,1)</f>
        <v>3.2</v>
      </c>
      <c r="AB146" s="2">
        <f>IF(ISNA(VLOOKUP($CZ146,'Audit Values'!$A$2:$AE$439,2,FALSE)),'Preliminary SO66'!H143,VLOOKUP($CZ146,'Audit Values'!$A$2:$AE$439,8,FALSE))</f>
        <v>125</v>
      </c>
      <c r="AC146" s="1">
        <f>ROUND(AB146*Weightings!$M$8,1)</f>
        <v>57</v>
      </c>
      <c r="AD146" s="1">
        <f t="shared" si="197"/>
        <v>10</v>
      </c>
      <c r="AE146" s="185">
        <v>2</v>
      </c>
      <c r="AF146" s="1">
        <f>AE146*Weightings!$M$9</f>
        <v>0.1</v>
      </c>
      <c r="AG146" s="1">
        <f>IF(ISNA(VLOOKUP($CZ146,'Audit Values'!$A$2:$AE$439,2,FALSE)),'Preliminary SO66'!L143,VLOOKUP($CZ146,'Audit Values'!$A$2:$AE$439,12,FALSE))</f>
        <v>0</v>
      </c>
      <c r="AH146" s="1">
        <f>ROUND(AG146*Weightings!$M$10,1)</f>
        <v>0</v>
      </c>
      <c r="AI146" s="1">
        <f>IF(ISNA(VLOOKUP($CZ146,'Audit Values'!$A$2:$AE$439,2,FALSE)),'Preliminary SO66'!O143,VLOOKUP($CZ146,'Audit Values'!$A$2:$AE$439,15,FALSE))</f>
        <v>39</v>
      </c>
      <c r="AJ146" s="1">
        <f t="shared" si="210"/>
        <v>15.5</v>
      </c>
      <c r="AK146" s="1">
        <f>CC146/Weightings!$M$5</f>
        <v>0</v>
      </c>
      <c r="AL146" s="1">
        <f>CD146/Weightings!$M$5</f>
        <v>0</v>
      </c>
      <c r="AM146" s="1">
        <f>CH146/Weightings!$M$5</f>
        <v>0</v>
      </c>
      <c r="AN146" s="1">
        <f t="shared" si="211"/>
        <v>0</v>
      </c>
      <c r="AO146" s="1">
        <f>IF(ISNA(VLOOKUP($CZ146,'Audit Values'!$A$2:$AE$439,2,FALSE)),'Preliminary SO66'!X143,VLOOKUP($CZ146,'Audit Values'!$A$2:$AE$439,24,FALSE))</f>
        <v>0</v>
      </c>
      <c r="AP146" s="188">
        <v>282347</v>
      </c>
      <c r="AQ146" s="113">
        <f>AP146/Weightings!$M$5</f>
        <v>73.599999999999994</v>
      </c>
      <c r="AR146" s="113">
        <f t="shared" si="212"/>
        <v>517</v>
      </c>
      <c r="AS146" s="1">
        <f t="shared" si="213"/>
        <v>590.6</v>
      </c>
      <c r="AT146" s="1">
        <f t="shared" si="214"/>
        <v>590.6</v>
      </c>
      <c r="AU146" s="2">
        <f t="shared" si="231"/>
        <v>0</v>
      </c>
      <c r="AV146" s="82">
        <f>IF(ISNA(VLOOKUP($CZ146,'Audit Values'!$A$2:$AC$360,2,FALSE)),"",IF(AND(Weightings!H146&gt;0,VLOOKUP($CZ146,'Audit Values'!$A$2:$AC$360,29,FALSE)&lt;Weightings!H146),Weightings!H146,VLOOKUP($CZ146,'Audit Values'!$A$2:$AC$360,29,FALSE)))</f>
        <v>10</v>
      </c>
      <c r="AW146" s="82" t="str">
        <f>IF(ISNA(VLOOKUP($CZ146,'Audit Values'!$A$2:$AD$360,2,FALSE)),"",VLOOKUP($CZ146,'Audit Values'!$A$2:$AD$360,30,FALSE))</f>
        <v>A</v>
      </c>
      <c r="AX146" s="82" t="str">
        <f>IF(Weightings!G146="","",IF(Weightings!I146="Pending","PX","R"))</f>
        <v/>
      </c>
      <c r="AY146" s="114">
        <f>AR146*Weightings!$M$5+AU146</f>
        <v>1984246</v>
      </c>
      <c r="AZ146" s="2">
        <f>AT146*Weightings!$M$5+AU146</f>
        <v>2266723</v>
      </c>
      <c r="BA146" s="2">
        <f>IF(Weightings!G146&gt;0,Weightings!G146,'Preliminary SO66'!AB143)</f>
        <v>2388387</v>
      </c>
      <c r="BB146" s="2">
        <f t="shared" si="215"/>
        <v>2266723</v>
      </c>
      <c r="BC146" s="124"/>
      <c r="BD146" s="124">
        <f>Weightings!E146</f>
        <v>0</v>
      </c>
      <c r="BE146" s="124">
        <f>Weightings!F146</f>
        <v>0</v>
      </c>
      <c r="BF146" s="2">
        <f t="shared" si="216"/>
        <v>0</v>
      </c>
      <c r="BG146" s="2">
        <f t="shared" si="217"/>
        <v>2266723</v>
      </c>
      <c r="BH146" s="2">
        <f>MAX(ROUND(((AR146-AO146)*4433)+AP146,0),ROUND(((AR146-AO146)*4433)+Weightings!B146,0))</f>
        <v>2574208</v>
      </c>
      <c r="BI146" s="174">
        <v>0.3</v>
      </c>
      <c r="BJ146" s="2">
        <f t="shared" si="191"/>
        <v>772262</v>
      </c>
      <c r="BK146" s="173">
        <v>813078</v>
      </c>
      <c r="BL146" s="2">
        <f t="shared" si="194"/>
        <v>772262</v>
      </c>
      <c r="BM146" s="3">
        <f t="shared" si="232"/>
        <v>0.3</v>
      </c>
      <c r="BN146" s="1">
        <f t="shared" si="218"/>
        <v>0</v>
      </c>
      <c r="BO146" s="4" t="b">
        <f t="shared" si="219"/>
        <v>1</v>
      </c>
      <c r="BP146" s="5">
        <f t="shared" si="220"/>
        <v>1636.5229999999999</v>
      </c>
      <c r="BQ146" s="6">
        <f t="shared" si="195"/>
        <v>0.56503300000000001</v>
      </c>
      <c r="BR146" s="4">
        <f t="shared" si="221"/>
        <v>152.30000000000001</v>
      </c>
      <c r="BS146" s="4" t="b">
        <f t="shared" si="222"/>
        <v>0</v>
      </c>
      <c r="BT146" s="4">
        <f t="shared" si="223"/>
        <v>0</v>
      </c>
      <c r="BU146" s="6">
        <f t="shared" si="196"/>
        <v>0</v>
      </c>
      <c r="BV146" s="1">
        <f t="shared" si="224"/>
        <v>0</v>
      </c>
      <c r="BW146" s="1">
        <f t="shared" si="225"/>
        <v>0</v>
      </c>
      <c r="BX146" s="116">
        <v>242</v>
      </c>
      <c r="BY146" s="7">
        <f t="shared" si="233"/>
        <v>0.16</v>
      </c>
      <c r="BZ146" s="7">
        <f>IF(ROUND((Weightings!$P$5*BY146^Weightings!$P$6*Weightings!$P$8 ),2)&lt;Weightings!$P$7,Weightings!$P$7,ROUND((Weightings!$P$5*BY146^Weightings!$P$6*Weightings!$P$8 ),2))</f>
        <v>1522.35</v>
      </c>
      <c r="CA146" s="8">
        <f>ROUND(BZ146/Weightings!$M$5,4)</f>
        <v>0.3967</v>
      </c>
      <c r="CB146" s="1">
        <f t="shared" si="234"/>
        <v>15.5</v>
      </c>
      <c r="CC146" s="173">
        <v>0</v>
      </c>
      <c r="CD146" s="173">
        <v>0</v>
      </c>
      <c r="CE146" s="173">
        <v>0</v>
      </c>
      <c r="CF146" s="177">
        <v>0</v>
      </c>
      <c r="CG146" s="2">
        <f>AS146*Weightings!$M$5*CF146</f>
        <v>0</v>
      </c>
      <c r="CH146" s="2">
        <f t="shared" si="198"/>
        <v>0</v>
      </c>
      <c r="CI146" s="117">
        <f t="shared" si="226"/>
        <v>0.46400000000000002</v>
      </c>
      <c r="CJ146" s="4">
        <f t="shared" si="227"/>
        <v>1.1000000000000001</v>
      </c>
      <c r="CK146" s="1">
        <f t="shared" si="235"/>
        <v>0</v>
      </c>
      <c r="CL146" s="1">
        <f t="shared" si="236"/>
        <v>0</v>
      </c>
      <c r="CM146" s="1">
        <f t="shared" si="237"/>
        <v>10</v>
      </c>
      <c r="CN146" s="1">
        <f>IF(ISNA(VLOOKUP($CZ146,'Audit Values'!$A$2:$AE$439,2,FALSE)),'Preliminary SO66'!T143,VLOOKUP($CZ146,'Audit Values'!$A$2:$AE$439,20,FALSE))</f>
        <v>0</v>
      </c>
      <c r="CO146" s="1">
        <f t="shared" si="228"/>
        <v>0</v>
      </c>
      <c r="CP146" s="183">
        <v>0</v>
      </c>
      <c r="CQ146" s="1">
        <f t="shared" si="229"/>
        <v>0</v>
      </c>
      <c r="CR146" s="2">
        <f>IF(ISNA(VLOOKUP($CZ146,'Audit Values'!$A$2:$AE$439,2,FALSE)),'Preliminary SO66'!V143,VLOOKUP($CZ146,'Audit Values'!$A$2:$AE$439,22,FALSE))</f>
        <v>0</v>
      </c>
      <c r="CS146" s="1">
        <f t="shared" si="230"/>
        <v>0</v>
      </c>
      <c r="CT146" s="2">
        <f>IF(ISNA(VLOOKUP($CZ146,'Audit Values'!$A$2:$AE$439,2,FALSE)),'Preliminary SO66'!W143,VLOOKUP($CZ146,'Audit Values'!$A$2:$AE$439,23,FALSE))</f>
        <v>0</v>
      </c>
      <c r="CU146" s="1">
        <f t="shared" si="192"/>
        <v>0</v>
      </c>
      <c r="CV146" s="1">
        <f t="shared" si="193"/>
        <v>0</v>
      </c>
      <c r="CW146" s="176">
        <v>0</v>
      </c>
      <c r="CX146" s="2">
        <f>IF(CW146&gt;0,Weightings!$M$11*AR146,0)</f>
        <v>0</v>
      </c>
      <c r="CY146" s="2">
        <f t="shared" si="238"/>
        <v>0</v>
      </c>
      <c r="CZ146" s="108" t="s">
        <v>438</v>
      </c>
    </row>
    <row r="147" spans="1:104">
      <c r="A147" s="82">
        <v>350</v>
      </c>
      <c r="B147" s="4" t="s">
        <v>66</v>
      </c>
      <c r="C147" s="4" t="s">
        <v>774</v>
      </c>
      <c r="D147" s="1">
        <v>301.5</v>
      </c>
      <c r="E147" s="1">
        <v>0</v>
      </c>
      <c r="F147" s="1">
        <f t="shared" ref="F147:F210" si="240">D147+E147</f>
        <v>301.5</v>
      </c>
      <c r="G147" s="1">
        <v>324.5</v>
      </c>
      <c r="H147" s="1">
        <v>0</v>
      </c>
      <c r="I147" s="1">
        <f t="shared" si="201"/>
        <v>324.5</v>
      </c>
      <c r="J147" s="1">
        <f t="shared" si="202"/>
        <v>331</v>
      </c>
      <c r="K147" s="1">
        <f>IF(ISNA(VLOOKUP($CZ147,'Audit Values'!$A$2:$AE$439,2,FALSE)),'Preliminary SO66'!B144,VLOOKUP($CZ147,'Audit Values'!$A$2:$AE$439,31,FALSE))</f>
        <v>331</v>
      </c>
      <c r="L147" s="1">
        <f t="shared" si="203"/>
        <v>331</v>
      </c>
      <c r="M147" s="1">
        <f>IF(ISNA(VLOOKUP($CZ147,'Audit Values'!$A$2:$AE$439,2,FALSE)),'Preliminary SO66'!Z144,VLOOKUP($CZ147,'Audit Values'!$A$2:$AE$439,26,FALSE))</f>
        <v>0</v>
      </c>
      <c r="N147" s="1">
        <f t="shared" si="204"/>
        <v>331</v>
      </c>
      <c r="O147" s="1">
        <f>IF(ISNA(VLOOKUP($CZ147,'Audit Values'!$A$2:$AE$439,2,FALSE)),'Preliminary SO66'!C144,IF(VLOOKUP($CZ147,'Audit Values'!$A$2:$AE$439,28,FALSE)="",VLOOKUP($CZ147,'Audit Values'!$A$2:$AE$439,3,FALSE),VLOOKUP($CZ147,'Audit Values'!$A$2:$AE$439,28,FALSE)))</f>
        <v>0</v>
      </c>
      <c r="P147" s="109">
        <f t="shared" si="205"/>
        <v>331</v>
      </c>
      <c r="Q147" s="110">
        <f t="shared" si="206"/>
        <v>331</v>
      </c>
      <c r="R147" s="111">
        <f t="shared" si="207"/>
        <v>331</v>
      </c>
      <c r="S147" s="1">
        <f t="shared" si="208"/>
        <v>331</v>
      </c>
      <c r="T147" s="1">
        <f t="shared" si="239"/>
        <v>0</v>
      </c>
      <c r="U147" s="1">
        <f t="shared" si="209"/>
        <v>156.80000000000001</v>
      </c>
      <c r="V147" s="1">
        <f t="shared" si="199"/>
        <v>156.80000000000001</v>
      </c>
      <c r="W147" s="1">
        <f t="shared" si="200"/>
        <v>0</v>
      </c>
      <c r="X147" s="1">
        <f>IF(ISNA(VLOOKUP($CZ147,'Audit Values'!$A$2:$AE$439,2,FALSE)),'Preliminary SO66'!D144,VLOOKUP($CZ147,'Audit Values'!$A$2:$AE$439,4,FALSE))</f>
        <v>88.7</v>
      </c>
      <c r="Y147" s="1">
        <f>ROUND((X147/6)*Weightings!$M$6,1)</f>
        <v>7.4</v>
      </c>
      <c r="Z147" s="1">
        <f>IF(ISNA(VLOOKUP($CZ147,'Audit Values'!$A$2:$AE$439,2,FALSE)),'Preliminary SO66'!F144,VLOOKUP($CZ147,'Audit Values'!$A$2:$AE$439,6,FALSE))</f>
        <v>189</v>
      </c>
      <c r="AA147" s="1">
        <f>ROUND((Z147/6)*Weightings!$M$7,1)</f>
        <v>12.4</v>
      </c>
      <c r="AB147" s="2">
        <f>IF(ISNA(VLOOKUP($CZ147,'Audit Values'!$A$2:$AE$439,2,FALSE)),'Preliminary SO66'!H144,VLOOKUP($CZ147,'Audit Values'!$A$2:$AE$439,8,FALSE))</f>
        <v>137</v>
      </c>
      <c r="AC147" s="1">
        <f>ROUND(AB147*Weightings!$M$8,1)</f>
        <v>62.5</v>
      </c>
      <c r="AD147" s="1">
        <f t="shared" si="197"/>
        <v>6.1</v>
      </c>
      <c r="AE147" s="185">
        <v>24</v>
      </c>
      <c r="AF147" s="1">
        <f>AE147*Weightings!$M$9</f>
        <v>1.1000000000000001</v>
      </c>
      <c r="AG147" s="1">
        <f>IF(ISNA(VLOOKUP($CZ147,'Audit Values'!$A$2:$AE$439,2,FALSE)),'Preliminary SO66'!L144,VLOOKUP($CZ147,'Audit Values'!$A$2:$AE$439,12,FALSE))</f>
        <v>0</v>
      </c>
      <c r="AH147" s="1">
        <f>ROUND(AG147*Weightings!$M$10,1)</f>
        <v>0</v>
      </c>
      <c r="AI147" s="1">
        <f>IF(ISNA(VLOOKUP($CZ147,'Audit Values'!$A$2:$AE$439,2,FALSE)),'Preliminary SO66'!O144,VLOOKUP($CZ147,'Audit Values'!$A$2:$AE$439,15,FALSE))</f>
        <v>38.5</v>
      </c>
      <c r="AJ147" s="1">
        <f t="shared" si="210"/>
        <v>16.3</v>
      </c>
      <c r="AK147" s="1">
        <f>CC147/Weightings!$M$5</f>
        <v>0</v>
      </c>
      <c r="AL147" s="1">
        <f>CD147/Weightings!$M$5</f>
        <v>0</v>
      </c>
      <c r="AM147" s="1">
        <f>CH147/Weightings!$M$5</f>
        <v>0</v>
      </c>
      <c r="AN147" s="1">
        <f t="shared" si="211"/>
        <v>0</v>
      </c>
      <c r="AO147" s="1">
        <f>IF(ISNA(VLOOKUP($CZ147,'Audit Values'!$A$2:$AE$439,2,FALSE)),'Preliminary SO66'!X144,VLOOKUP($CZ147,'Audit Values'!$A$2:$AE$439,24,FALSE))</f>
        <v>0</v>
      </c>
      <c r="AP147" s="188">
        <v>358611</v>
      </c>
      <c r="AQ147" s="113">
        <f>AP147/Weightings!$M$5</f>
        <v>93.4</v>
      </c>
      <c r="AR147" s="113">
        <f t="shared" si="212"/>
        <v>593.6</v>
      </c>
      <c r="AS147" s="1">
        <f t="shared" si="213"/>
        <v>687</v>
      </c>
      <c r="AT147" s="1">
        <f t="shared" si="214"/>
        <v>687</v>
      </c>
      <c r="AU147" s="2">
        <f t="shared" si="231"/>
        <v>13000</v>
      </c>
      <c r="AV147" s="82">
        <f>IF(ISNA(VLOOKUP($CZ147,'Audit Values'!$A$2:$AC$360,2,FALSE)),"",IF(AND(Weightings!H147&gt;0,VLOOKUP($CZ147,'Audit Values'!$A$2:$AC$360,29,FALSE)&lt;Weightings!H147),Weightings!H147,VLOOKUP($CZ147,'Audit Values'!$A$2:$AC$360,29,FALSE)))</f>
        <v>25</v>
      </c>
      <c r="AW147" s="82" t="str">
        <f>IF(ISNA(VLOOKUP($CZ147,'Audit Values'!$A$2:$AD$360,2,FALSE)),"",VLOOKUP($CZ147,'Audit Values'!$A$2:$AD$360,30,FALSE))</f>
        <v>A</v>
      </c>
      <c r="AX147" s="82" t="str">
        <f>IF(Weightings!G147="","",IF(Weightings!I147="Pending","PX","R"))</f>
        <v>R</v>
      </c>
      <c r="AY147" s="114">
        <f>AR147*Weightings!$M$5+AU147</f>
        <v>2291237</v>
      </c>
      <c r="AZ147" s="2">
        <f>AT147*Weightings!$M$5+AU147</f>
        <v>2649706</v>
      </c>
      <c r="BA147" s="2">
        <f>IF(Weightings!G147&gt;0,Weightings!G147,'Preliminary SO66'!AB144)</f>
        <v>2713417</v>
      </c>
      <c r="BB147" s="2">
        <f t="shared" si="215"/>
        <v>2649706</v>
      </c>
      <c r="BC147" s="124"/>
      <c r="BD147" s="124">
        <f>Weightings!E147</f>
        <v>0</v>
      </c>
      <c r="BE147" s="124">
        <f>Weightings!F147</f>
        <v>0</v>
      </c>
      <c r="BF147" s="2">
        <f t="shared" si="216"/>
        <v>0</v>
      </c>
      <c r="BG147" s="2">
        <f t="shared" si="217"/>
        <v>2649706</v>
      </c>
      <c r="BH147" s="2">
        <f>MAX(ROUND(((AR147-AO147)*4433)+AP147,0),ROUND(((AR147-AO147)*4433)+Weightings!B147,0))</f>
        <v>3024970</v>
      </c>
      <c r="BI147" s="174">
        <v>0.3</v>
      </c>
      <c r="BJ147" s="2">
        <f t="shared" si="191"/>
        <v>907491</v>
      </c>
      <c r="BK147" s="173">
        <v>903179</v>
      </c>
      <c r="BL147" s="2">
        <f t="shared" si="194"/>
        <v>903179</v>
      </c>
      <c r="BM147" s="3">
        <f t="shared" si="232"/>
        <v>0.29859999999999998</v>
      </c>
      <c r="BN147" s="1">
        <f t="shared" si="218"/>
        <v>0</v>
      </c>
      <c r="BO147" s="4" t="b">
        <f t="shared" si="219"/>
        <v>0</v>
      </c>
      <c r="BP147" s="5">
        <f t="shared" si="220"/>
        <v>0</v>
      </c>
      <c r="BQ147" s="6">
        <f t="shared" si="195"/>
        <v>0</v>
      </c>
      <c r="BR147" s="4">
        <f t="shared" si="221"/>
        <v>0</v>
      </c>
      <c r="BS147" s="4" t="b">
        <f t="shared" si="222"/>
        <v>1</v>
      </c>
      <c r="BT147" s="4">
        <f t="shared" si="223"/>
        <v>38.362499999999997</v>
      </c>
      <c r="BU147" s="6">
        <f t="shared" si="196"/>
        <v>0.47365400000000002</v>
      </c>
      <c r="BV147" s="1">
        <f t="shared" si="224"/>
        <v>156.80000000000001</v>
      </c>
      <c r="BW147" s="1">
        <f t="shared" si="225"/>
        <v>0</v>
      </c>
      <c r="BX147" s="116">
        <v>308.3</v>
      </c>
      <c r="BY147" s="7">
        <f t="shared" si="233"/>
        <v>0.12</v>
      </c>
      <c r="BZ147" s="7">
        <f>IF(ROUND((Weightings!$P$5*BY147^Weightings!$P$6*Weightings!$P$8 ),2)&lt;Weightings!$P$7,Weightings!$P$7,ROUND((Weightings!$P$5*BY147^Weightings!$P$6*Weightings!$P$8 ),2))</f>
        <v>1625.6</v>
      </c>
      <c r="CA147" s="8">
        <f>ROUND(BZ147/Weightings!$M$5,4)</f>
        <v>0.42359999999999998</v>
      </c>
      <c r="CB147" s="1">
        <f t="shared" si="234"/>
        <v>16.3</v>
      </c>
      <c r="CC147" s="173">
        <v>0</v>
      </c>
      <c r="CD147" s="173">
        <v>0</v>
      </c>
      <c r="CE147" s="173">
        <v>0</v>
      </c>
      <c r="CF147" s="177">
        <v>0</v>
      </c>
      <c r="CG147" s="2">
        <f>AS147*Weightings!$M$5*CF147</f>
        <v>0</v>
      </c>
      <c r="CH147" s="2">
        <f t="shared" si="198"/>
        <v>0</v>
      </c>
      <c r="CI147" s="117">
        <f t="shared" si="226"/>
        <v>0.41399999999999998</v>
      </c>
      <c r="CJ147" s="4">
        <f t="shared" si="227"/>
        <v>1.1000000000000001</v>
      </c>
      <c r="CK147" s="1">
        <f t="shared" si="235"/>
        <v>0</v>
      </c>
      <c r="CL147" s="1">
        <f t="shared" si="236"/>
        <v>0</v>
      </c>
      <c r="CM147" s="1">
        <f t="shared" si="237"/>
        <v>6.1</v>
      </c>
      <c r="CN147" s="1">
        <f>IF(ISNA(VLOOKUP($CZ147,'Audit Values'!$A$2:$AE$439,2,FALSE)),'Preliminary SO66'!T144,VLOOKUP($CZ147,'Audit Values'!$A$2:$AE$439,20,FALSE))</f>
        <v>0</v>
      </c>
      <c r="CO147" s="1">
        <f t="shared" si="228"/>
        <v>0</v>
      </c>
      <c r="CP147" s="183">
        <v>0</v>
      </c>
      <c r="CQ147" s="1">
        <f t="shared" si="229"/>
        <v>0</v>
      </c>
      <c r="CR147" s="2">
        <f>IF(ISNA(VLOOKUP($CZ147,'Audit Values'!$A$2:$AE$439,2,FALSE)),'Preliminary SO66'!V144,VLOOKUP($CZ147,'Audit Values'!$A$2:$AE$439,22,FALSE))</f>
        <v>0</v>
      </c>
      <c r="CS147" s="1">
        <f t="shared" si="230"/>
        <v>0</v>
      </c>
      <c r="CT147" s="2">
        <f>IF(ISNA(VLOOKUP($CZ147,'Audit Values'!$A$2:$AE$439,2,FALSE)),'Preliminary SO66'!W144,VLOOKUP($CZ147,'Audit Values'!$A$2:$AE$439,23,FALSE))</f>
        <v>0</v>
      </c>
      <c r="CU147" s="1">
        <f t="shared" si="192"/>
        <v>0</v>
      </c>
      <c r="CV147" s="1">
        <f t="shared" si="193"/>
        <v>0</v>
      </c>
      <c r="CW147" s="176">
        <v>13000</v>
      </c>
      <c r="CX147" s="2">
        <f>IF(CW147&gt;0,Weightings!$M$11*AR147,0)</f>
        <v>148400</v>
      </c>
      <c r="CY147" s="2">
        <f t="shared" si="238"/>
        <v>13000</v>
      </c>
      <c r="CZ147" s="108" t="s">
        <v>439</v>
      </c>
    </row>
    <row r="148" spans="1:104">
      <c r="A148" s="82">
        <v>351</v>
      </c>
      <c r="B148" s="4" t="s">
        <v>66</v>
      </c>
      <c r="C148" s="4" t="s">
        <v>775</v>
      </c>
      <c r="D148" s="1">
        <v>272.60000000000002</v>
      </c>
      <c r="E148" s="1">
        <v>0</v>
      </c>
      <c r="F148" s="1">
        <f t="shared" si="240"/>
        <v>272.60000000000002</v>
      </c>
      <c r="G148" s="1">
        <v>261.3</v>
      </c>
      <c r="H148" s="1">
        <v>0</v>
      </c>
      <c r="I148" s="1">
        <f t="shared" si="201"/>
        <v>261.3</v>
      </c>
      <c r="J148" s="1">
        <f t="shared" si="202"/>
        <v>261.2</v>
      </c>
      <c r="K148" s="1">
        <f>IF(ISNA(VLOOKUP($CZ148,'Audit Values'!$A$2:$AE$439,2,FALSE)),'Preliminary SO66'!B145,VLOOKUP($CZ148,'Audit Values'!$A$2:$AE$439,31,FALSE))</f>
        <v>261.2</v>
      </c>
      <c r="L148" s="1">
        <f t="shared" si="203"/>
        <v>265</v>
      </c>
      <c r="M148" s="1">
        <f>IF(ISNA(VLOOKUP($CZ148,'Audit Values'!$A$2:$AE$439,2,FALSE)),'Preliminary SO66'!Z145,VLOOKUP($CZ148,'Audit Values'!$A$2:$AE$439,26,FALSE))</f>
        <v>0</v>
      </c>
      <c r="N148" s="1">
        <f t="shared" si="204"/>
        <v>265</v>
      </c>
      <c r="O148" s="1">
        <f>IF(ISNA(VLOOKUP($CZ148,'Audit Values'!$A$2:$AE$439,2,FALSE)),'Preliminary SO66'!C145,IF(VLOOKUP($CZ148,'Audit Values'!$A$2:$AE$439,28,FALSE)="",VLOOKUP($CZ148,'Audit Values'!$A$2:$AE$439,3,FALSE),VLOOKUP($CZ148,'Audit Values'!$A$2:$AE$439,28,FALSE)))</f>
        <v>2.5</v>
      </c>
      <c r="P148" s="109">
        <f t="shared" si="205"/>
        <v>263.7</v>
      </c>
      <c r="Q148" s="110">
        <f t="shared" si="206"/>
        <v>263.7</v>
      </c>
      <c r="R148" s="111">
        <f t="shared" si="207"/>
        <v>263.7</v>
      </c>
      <c r="S148" s="1">
        <f t="shared" si="208"/>
        <v>267.5</v>
      </c>
      <c r="T148" s="1">
        <f t="shared" si="239"/>
        <v>0</v>
      </c>
      <c r="U148" s="1">
        <f t="shared" si="209"/>
        <v>152.6</v>
      </c>
      <c r="V148" s="1">
        <f t="shared" si="199"/>
        <v>152.6</v>
      </c>
      <c r="W148" s="1">
        <f t="shared" si="200"/>
        <v>0</v>
      </c>
      <c r="X148" s="1">
        <f>IF(ISNA(VLOOKUP($CZ148,'Audit Values'!$A$2:$AE$439,2,FALSE)),'Preliminary SO66'!D145,VLOOKUP($CZ148,'Audit Values'!$A$2:$AE$439,4,FALSE))</f>
        <v>34.200000000000003</v>
      </c>
      <c r="Y148" s="1">
        <f>ROUND((X148/6)*Weightings!$M$6,1)</f>
        <v>2.9</v>
      </c>
      <c r="Z148" s="1">
        <f>IF(ISNA(VLOOKUP($CZ148,'Audit Values'!$A$2:$AE$439,2,FALSE)),'Preliminary SO66'!F145,VLOOKUP($CZ148,'Audit Values'!$A$2:$AE$439,6,FALSE))</f>
        <v>181.7</v>
      </c>
      <c r="AA148" s="1">
        <f>ROUND((Z148/6)*Weightings!$M$7,1)</f>
        <v>12</v>
      </c>
      <c r="AB148" s="2">
        <f>IF(ISNA(VLOOKUP($CZ148,'Audit Values'!$A$2:$AE$439,2,FALSE)),'Preliminary SO66'!H145,VLOOKUP($CZ148,'Audit Values'!$A$2:$AE$439,8,FALSE))</f>
        <v>156</v>
      </c>
      <c r="AC148" s="1">
        <f>ROUND(AB148*Weightings!$M$8,1)</f>
        <v>71.099999999999994</v>
      </c>
      <c r="AD148" s="1">
        <f t="shared" si="197"/>
        <v>16.399999999999999</v>
      </c>
      <c r="AE148" s="185">
        <v>23</v>
      </c>
      <c r="AF148" s="1">
        <f>AE148*Weightings!$M$9</f>
        <v>1.1000000000000001</v>
      </c>
      <c r="AG148" s="1">
        <f>IF(ISNA(VLOOKUP($CZ148,'Audit Values'!$A$2:$AE$439,2,FALSE)),'Preliminary SO66'!L145,VLOOKUP($CZ148,'Audit Values'!$A$2:$AE$439,12,FALSE))</f>
        <v>0</v>
      </c>
      <c r="AH148" s="1">
        <f>ROUND(AG148*Weightings!$M$10,1)</f>
        <v>0</v>
      </c>
      <c r="AI148" s="1">
        <f>IF(ISNA(VLOOKUP($CZ148,'Audit Values'!$A$2:$AE$439,2,FALSE)),'Preliminary SO66'!O145,VLOOKUP($CZ148,'Audit Values'!$A$2:$AE$439,15,FALSE))</f>
        <v>80.5</v>
      </c>
      <c r="AJ148" s="1">
        <f t="shared" si="210"/>
        <v>29.7</v>
      </c>
      <c r="AK148" s="1">
        <f>CC148/Weightings!$M$5</f>
        <v>0</v>
      </c>
      <c r="AL148" s="1">
        <f>CD148/Weightings!$M$5</f>
        <v>0</v>
      </c>
      <c r="AM148" s="1">
        <f>CH148/Weightings!$M$5</f>
        <v>0</v>
      </c>
      <c r="AN148" s="1">
        <f t="shared" si="211"/>
        <v>0</v>
      </c>
      <c r="AO148" s="1">
        <f>IF(ISNA(VLOOKUP($CZ148,'Audit Values'!$A$2:$AE$439,2,FALSE)),'Preliminary SO66'!X145,VLOOKUP($CZ148,'Audit Values'!$A$2:$AE$439,24,FALSE))</f>
        <v>0</v>
      </c>
      <c r="AP148" s="188">
        <v>310932</v>
      </c>
      <c r="AQ148" s="113">
        <f>AP148/Weightings!$M$5</f>
        <v>81</v>
      </c>
      <c r="AR148" s="113">
        <f t="shared" si="212"/>
        <v>553.29999999999995</v>
      </c>
      <c r="AS148" s="1">
        <f t="shared" si="213"/>
        <v>634.29999999999995</v>
      </c>
      <c r="AT148" s="1">
        <f t="shared" si="214"/>
        <v>634.29999999999995</v>
      </c>
      <c r="AU148" s="2">
        <f t="shared" si="231"/>
        <v>0</v>
      </c>
      <c r="AV148" s="82">
        <f>IF(ISNA(VLOOKUP($CZ148,'Audit Values'!$A$2:$AC$360,2,FALSE)),"",IF(AND(Weightings!H148&gt;0,VLOOKUP($CZ148,'Audit Values'!$A$2:$AC$360,29,FALSE)&lt;Weightings!H148),Weightings!H148,VLOOKUP($CZ148,'Audit Values'!$A$2:$AC$360,29,FALSE)))</f>
        <v>12</v>
      </c>
      <c r="AW148" s="82" t="str">
        <f>IF(ISNA(VLOOKUP($CZ148,'Audit Values'!$A$2:$AD$360,2,FALSE)),"",VLOOKUP($CZ148,'Audit Values'!$A$2:$AD$360,30,FALSE))</f>
        <v>A</v>
      </c>
      <c r="AX148" s="82" t="str">
        <f>IF(Weightings!G148="","",IF(Weightings!I148="Pending","PX","R"))</f>
        <v/>
      </c>
      <c r="AY148" s="114">
        <f>AR148*Weightings!$M$5+AU148</f>
        <v>2123565</v>
      </c>
      <c r="AZ148" s="2">
        <f>AT148*Weightings!$M$5+AU148</f>
        <v>2434443</v>
      </c>
      <c r="BA148" s="2">
        <f>IF(Weightings!G148&gt;0,Weightings!G148,'Preliminary SO66'!AB145)</f>
        <v>2582974</v>
      </c>
      <c r="BB148" s="2">
        <f t="shared" si="215"/>
        <v>2434443</v>
      </c>
      <c r="BC148" s="124"/>
      <c r="BD148" s="124">
        <f>Weightings!E148</f>
        <v>0</v>
      </c>
      <c r="BE148" s="124">
        <f>Weightings!F148</f>
        <v>0</v>
      </c>
      <c r="BF148" s="2">
        <f t="shared" si="216"/>
        <v>0</v>
      </c>
      <c r="BG148" s="2">
        <f t="shared" si="217"/>
        <v>2434443</v>
      </c>
      <c r="BH148" s="2">
        <f>MAX(ROUND(((AR148-AO148)*4433)+AP148,0),ROUND(((AR148-AO148)*4433)+Weightings!B148,0))</f>
        <v>2763711</v>
      </c>
      <c r="BI148" s="174">
        <v>0.3</v>
      </c>
      <c r="BJ148" s="2">
        <f t="shared" si="191"/>
        <v>829113</v>
      </c>
      <c r="BK148" s="173">
        <v>730000</v>
      </c>
      <c r="BL148" s="2">
        <f t="shared" si="194"/>
        <v>730000</v>
      </c>
      <c r="BM148" s="3">
        <f t="shared" si="232"/>
        <v>0.2641</v>
      </c>
      <c r="BN148" s="1">
        <f t="shared" si="218"/>
        <v>0</v>
      </c>
      <c r="BO148" s="4" t="b">
        <f t="shared" si="219"/>
        <v>1</v>
      </c>
      <c r="BP148" s="5">
        <f t="shared" si="220"/>
        <v>1617.213</v>
      </c>
      <c r="BQ148" s="6">
        <f t="shared" si="195"/>
        <v>0.57033500000000004</v>
      </c>
      <c r="BR148" s="4">
        <f t="shared" si="221"/>
        <v>152.6</v>
      </c>
      <c r="BS148" s="4" t="b">
        <f t="shared" si="222"/>
        <v>0</v>
      </c>
      <c r="BT148" s="4">
        <f t="shared" si="223"/>
        <v>0</v>
      </c>
      <c r="BU148" s="6">
        <f t="shared" si="196"/>
        <v>0</v>
      </c>
      <c r="BV148" s="1">
        <f t="shared" si="224"/>
        <v>0</v>
      </c>
      <c r="BW148" s="1">
        <f t="shared" si="225"/>
        <v>0</v>
      </c>
      <c r="BX148" s="116">
        <v>360</v>
      </c>
      <c r="BY148" s="7">
        <f t="shared" si="233"/>
        <v>0.22</v>
      </c>
      <c r="BZ148" s="7">
        <f>IF(ROUND((Weightings!$P$5*BY148^Weightings!$P$6*Weightings!$P$8 ),2)&lt;Weightings!$P$7,Weightings!$P$7,ROUND((Weightings!$P$5*BY148^Weightings!$P$6*Weightings!$P$8 ),2))</f>
        <v>1415.69</v>
      </c>
      <c r="CA148" s="8">
        <f>ROUND(BZ148/Weightings!$M$5,4)</f>
        <v>0.36890000000000001</v>
      </c>
      <c r="CB148" s="1">
        <f t="shared" si="234"/>
        <v>29.7</v>
      </c>
      <c r="CC148" s="173">
        <v>0</v>
      </c>
      <c r="CD148" s="173">
        <v>0</v>
      </c>
      <c r="CE148" s="173">
        <v>0</v>
      </c>
      <c r="CF148" s="177">
        <v>0</v>
      </c>
      <c r="CG148" s="2">
        <f>AS148*Weightings!$M$5*CF148</f>
        <v>0</v>
      </c>
      <c r="CH148" s="2">
        <f t="shared" si="198"/>
        <v>0</v>
      </c>
      <c r="CI148" s="117">
        <f t="shared" si="226"/>
        <v>0.58299999999999996</v>
      </c>
      <c r="CJ148" s="4">
        <f t="shared" si="227"/>
        <v>0.7</v>
      </c>
      <c r="CK148" s="1">
        <f t="shared" si="235"/>
        <v>16.399999999999999</v>
      </c>
      <c r="CL148" s="1">
        <f t="shared" si="236"/>
        <v>0</v>
      </c>
      <c r="CM148" s="1">
        <f t="shared" si="237"/>
        <v>0</v>
      </c>
      <c r="CN148" s="1">
        <f>IF(ISNA(VLOOKUP($CZ148,'Audit Values'!$A$2:$AE$439,2,FALSE)),'Preliminary SO66'!T145,VLOOKUP($CZ148,'Audit Values'!$A$2:$AE$439,20,FALSE))</f>
        <v>0</v>
      </c>
      <c r="CO148" s="1">
        <f t="shared" si="228"/>
        <v>0</v>
      </c>
      <c r="CP148" s="183">
        <v>0</v>
      </c>
      <c r="CQ148" s="1">
        <f t="shared" si="229"/>
        <v>0</v>
      </c>
      <c r="CR148" s="2">
        <f>IF(ISNA(VLOOKUP($CZ148,'Audit Values'!$A$2:$AE$439,2,FALSE)),'Preliminary SO66'!V145,VLOOKUP($CZ148,'Audit Values'!$A$2:$AE$439,22,FALSE))</f>
        <v>0</v>
      </c>
      <c r="CS148" s="1">
        <f t="shared" si="230"/>
        <v>0</v>
      </c>
      <c r="CT148" s="2">
        <f>IF(ISNA(VLOOKUP($CZ148,'Audit Values'!$A$2:$AE$439,2,FALSE)),'Preliminary SO66'!W145,VLOOKUP($CZ148,'Audit Values'!$A$2:$AE$439,23,FALSE))</f>
        <v>0</v>
      </c>
      <c r="CU148" s="1">
        <f t="shared" si="192"/>
        <v>0</v>
      </c>
      <c r="CV148" s="1">
        <f t="shared" si="193"/>
        <v>0</v>
      </c>
      <c r="CW148" s="176">
        <v>0</v>
      </c>
      <c r="CX148" s="2">
        <f>IF(CW148&gt;0,Weightings!$M$11*AR148,0)</f>
        <v>0</v>
      </c>
      <c r="CY148" s="2">
        <f t="shared" si="238"/>
        <v>0</v>
      </c>
      <c r="CZ148" s="108" t="s">
        <v>440</v>
      </c>
    </row>
    <row r="149" spans="1:104">
      <c r="A149" s="82">
        <v>352</v>
      </c>
      <c r="B149" s="4" t="s">
        <v>67</v>
      </c>
      <c r="C149" s="4" t="s">
        <v>776</v>
      </c>
      <c r="D149" s="1">
        <v>981.7</v>
      </c>
      <c r="E149" s="1">
        <v>0</v>
      </c>
      <c r="F149" s="1">
        <f t="shared" si="240"/>
        <v>981.7</v>
      </c>
      <c r="G149" s="1">
        <v>1023.1</v>
      </c>
      <c r="H149" s="1">
        <v>0</v>
      </c>
      <c r="I149" s="1">
        <f t="shared" si="201"/>
        <v>1023.1</v>
      </c>
      <c r="J149" s="1">
        <f t="shared" si="202"/>
        <v>1032.3</v>
      </c>
      <c r="K149" s="1">
        <f>IF(ISNA(VLOOKUP($CZ149,'Audit Values'!$A$2:$AE$439,2,FALSE)),'Preliminary SO66'!B146,VLOOKUP($CZ149,'Audit Values'!$A$2:$AE$439,31,FALSE))</f>
        <v>1032.3</v>
      </c>
      <c r="L149" s="1">
        <f t="shared" si="203"/>
        <v>1032.3</v>
      </c>
      <c r="M149" s="1">
        <f>IF(ISNA(VLOOKUP($CZ149,'Audit Values'!$A$2:$AE$439,2,FALSE)),'Preliminary SO66'!Z146,VLOOKUP($CZ149,'Audit Values'!$A$2:$AE$439,26,FALSE))</f>
        <v>0</v>
      </c>
      <c r="N149" s="1">
        <f t="shared" si="204"/>
        <v>1032.3</v>
      </c>
      <c r="O149" s="1">
        <f>IF(ISNA(VLOOKUP($CZ149,'Audit Values'!$A$2:$AE$439,2,FALSE)),'Preliminary SO66'!C146,IF(VLOOKUP($CZ149,'Audit Values'!$A$2:$AE$439,28,FALSE)="",VLOOKUP($CZ149,'Audit Values'!$A$2:$AE$439,3,FALSE),VLOOKUP($CZ149,'Audit Values'!$A$2:$AE$439,28,FALSE)))</f>
        <v>0</v>
      </c>
      <c r="P149" s="109">
        <f t="shared" si="205"/>
        <v>1032.3</v>
      </c>
      <c r="Q149" s="110">
        <f t="shared" si="206"/>
        <v>1032.3</v>
      </c>
      <c r="R149" s="111">
        <f t="shared" si="207"/>
        <v>1032.3</v>
      </c>
      <c r="S149" s="1">
        <f t="shared" si="208"/>
        <v>1032.3</v>
      </c>
      <c r="T149" s="1">
        <f t="shared" si="239"/>
        <v>0</v>
      </c>
      <c r="U149" s="1">
        <f t="shared" si="209"/>
        <v>243</v>
      </c>
      <c r="V149" s="1">
        <f t="shared" si="199"/>
        <v>243</v>
      </c>
      <c r="W149" s="1">
        <f t="shared" si="200"/>
        <v>0</v>
      </c>
      <c r="X149" s="1">
        <f>IF(ISNA(VLOOKUP($CZ149,'Audit Values'!$A$2:$AE$439,2,FALSE)),'Preliminary SO66'!D146,VLOOKUP($CZ149,'Audit Values'!$A$2:$AE$439,4,FALSE))</f>
        <v>201.4</v>
      </c>
      <c r="Y149" s="1">
        <f>ROUND((X149/6)*Weightings!$M$6,1)</f>
        <v>16.8</v>
      </c>
      <c r="Z149" s="1">
        <f>IF(ISNA(VLOOKUP($CZ149,'Audit Values'!$A$2:$AE$439,2,FALSE)),'Preliminary SO66'!F146,VLOOKUP($CZ149,'Audit Values'!$A$2:$AE$439,6,FALSE))</f>
        <v>344.6</v>
      </c>
      <c r="AA149" s="1">
        <f>ROUND((Z149/6)*Weightings!$M$7,1)</f>
        <v>22.7</v>
      </c>
      <c r="AB149" s="2">
        <f>IF(ISNA(VLOOKUP($CZ149,'Audit Values'!$A$2:$AE$439,2,FALSE)),'Preliminary SO66'!H146,VLOOKUP($CZ149,'Audit Values'!$A$2:$AE$439,8,FALSE))</f>
        <v>443</v>
      </c>
      <c r="AC149" s="1">
        <f>ROUND(AB149*Weightings!$M$8,1)</f>
        <v>202</v>
      </c>
      <c r="AD149" s="1">
        <f t="shared" si="197"/>
        <v>24.5</v>
      </c>
      <c r="AE149" s="185">
        <v>56</v>
      </c>
      <c r="AF149" s="1">
        <f>AE149*Weightings!$M$9</f>
        <v>2.6</v>
      </c>
      <c r="AG149" s="1">
        <f>IF(ISNA(VLOOKUP($CZ149,'Audit Values'!$A$2:$AE$439,2,FALSE)),'Preliminary SO66'!L146,VLOOKUP($CZ149,'Audit Values'!$A$2:$AE$439,12,FALSE))</f>
        <v>0</v>
      </c>
      <c r="AH149" s="1">
        <f>ROUND(AG149*Weightings!$M$10,1)</f>
        <v>0</v>
      </c>
      <c r="AI149" s="1">
        <f>IF(ISNA(VLOOKUP($CZ149,'Audit Values'!$A$2:$AE$439,2,FALSE)),'Preliminary SO66'!O146,VLOOKUP($CZ149,'Audit Values'!$A$2:$AE$439,15,FALSE))</f>
        <v>160</v>
      </c>
      <c r="AJ149" s="1">
        <f t="shared" si="210"/>
        <v>61.8</v>
      </c>
      <c r="AK149" s="1">
        <f>CC149/Weightings!$M$5</f>
        <v>0</v>
      </c>
      <c r="AL149" s="1">
        <f>CD149/Weightings!$M$5</f>
        <v>0</v>
      </c>
      <c r="AM149" s="1">
        <f>CH149/Weightings!$M$5</f>
        <v>0</v>
      </c>
      <c r="AN149" s="1">
        <f t="shared" si="211"/>
        <v>0</v>
      </c>
      <c r="AO149" s="1">
        <f>IF(ISNA(VLOOKUP($CZ149,'Audit Values'!$A$2:$AE$439,2,FALSE)),'Preliminary SO66'!X146,VLOOKUP($CZ149,'Audit Values'!$A$2:$AE$439,24,FALSE))</f>
        <v>1</v>
      </c>
      <c r="AP149" s="188">
        <v>864243</v>
      </c>
      <c r="AQ149" s="113">
        <f>AP149/Weightings!$M$5</f>
        <v>225.2</v>
      </c>
      <c r="AR149" s="113">
        <f t="shared" si="212"/>
        <v>1606.7</v>
      </c>
      <c r="AS149" s="1">
        <f t="shared" si="213"/>
        <v>1831.9</v>
      </c>
      <c r="AT149" s="1">
        <f t="shared" si="214"/>
        <v>1831.9</v>
      </c>
      <c r="AU149" s="2">
        <f t="shared" si="231"/>
        <v>0</v>
      </c>
      <c r="AV149" s="82">
        <f>IF(ISNA(VLOOKUP($CZ149,'Audit Values'!$A$2:$AC$360,2,FALSE)),"",IF(AND(Weightings!H149&gt;0,VLOOKUP($CZ149,'Audit Values'!$A$2:$AC$360,29,FALSE)&lt;Weightings!H149),Weightings!H149,VLOOKUP($CZ149,'Audit Values'!$A$2:$AC$360,29,FALSE)))</f>
        <v>23</v>
      </c>
      <c r="AW149" s="82" t="str">
        <f>IF(ISNA(VLOOKUP($CZ149,'Audit Values'!$A$2:$AD$360,2,FALSE)),"",VLOOKUP($CZ149,'Audit Values'!$A$2:$AD$360,30,FALSE))</f>
        <v>A</v>
      </c>
      <c r="AX149" s="82" t="str">
        <f>IF(Weightings!G149="","",IF(Weightings!I149="Pending","PX","R"))</f>
        <v>R</v>
      </c>
      <c r="AY149" s="114">
        <f>AR149*Weightings!$M$5+AU149</f>
        <v>6166515</v>
      </c>
      <c r="AZ149" s="2">
        <f>AT149*Weightings!$M$5+AU149</f>
        <v>7030832</v>
      </c>
      <c r="BA149" s="2">
        <f>IF(Weightings!G149&gt;0,Weightings!G149,'Preliminary SO66'!AB146)</f>
        <v>7101068</v>
      </c>
      <c r="BB149" s="2">
        <f t="shared" si="215"/>
        <v>7030832</v>
      </c>
      <c r="BC149" s="124"/>
      <c r="BD149" s="124">
        <f>Weightings!E149</f>
        <v>0</v>
      </c>
      <c r="BE149" s="124">
        <f>Weightings!F149</f>
        <v>0</v>
      </c>
      <c r="BF149" s="2">
        <f t="shared" si="216"/>
        <v>0</v>
      </c>
      <c r="BG149" s="2">
        <f t="shared" si="217"/>
        <v>7030832</v>
      </c>
      <c r="BH149" s="2">
        <f>MAX(ROUND(((AR149-AO149)*4433)+AP149,0),ROUND(((AR149-AO149)*4433)+Weightings!B149,0))</f>
        <v>7982311</v>
      </c>
      <c r="BI149" s="174">
        <v>0.3</v>
      </c>
      <c r="BJ149" s="2">
        <f t="shared" si="191"/>
        <v>2394693</v>
      </c>
      <c r="BK149" s="173">
        <v>2319007</v>
      </c>
      <c r="BL149" s="2">
        <f t="shared" si="194"/>
        <v>2319007</v>
      </c>
      <c r="BM149" s="3">
        <f t="shared" si="232"/>
        <v>0.29049999999999998</v>
      </c>
      <c r="BN149" s="1">
        <f t="shared" si="218"/>
        <v>0</v>
      </c>
      <c r="BO149" s="4" t="b">
        <f t="shared" si="219"/>
        <v>0</v>
      </c>
      <c r="BP149" s="5">
        <f t="shared" si="220"/>
        <v>0</v>
      </c>
      <c r="BQ149" s="6">
        <f t="shared" si="195"/>
        <v>0</v>
      </c>
      <c r="BR149" s="4">
        <f t="shared" si="221"/>
        <v>0</v>
      </c>
      <c r="BS149" s="4" t="b">
        <f t="shared" si="222"/>
        <v>1</v>
      </c>
      <c r="BT149" s="4">
        <f t="shared" si="223"/>
        <v>906.22130000000004</v>
      </c>
      <c r="BU149" s="6">
        <f t="shared" si="196"/>
        <v>0.23538799999999999</v>
      </c>
      <c r="BV149" s="1">
        <f t="shared" si="224"/>
        <v>243</v>
      </c>
      <c r="BW149" s="1">
        <f t="shared" si="225"/>
        <v>0</v>
      </c>
      <c r="BX149" s="116">
        <v>914.2</v>
      </c>
      <c r="BY149" s="7">
        <f t="shared" si="233"/>
        <v>0.18</v>
      </c>
      <c r="BZ149" s="7">
        <f>IF(ROUND((Weightings!$P$5*BY149^Weightings!$P$6*Weightings!$P$8 ),2)&lt;Weightings!$P$7,Weightings!$P$7,ROUND((Weightings!$P$5*BY149^Weightings!$P$6*Weightings!$P$8 ),2))</f>
        <v>1482</v>
      </c>
      <c r="CA149" s="8">
        <f>ROUND(BZ149/Weightings!$M$5,4)</f>
        <v>0.3861</v>
      </c>
      <c r="CB149" s="1">
        <f t="shared" si="234"/>
        <v>61.8</v>
      </c>
      <c r="CC149" s="173">
        <v>0</v>
      </c>
      <c r="CD149" s="173">
        <v>0</v>
      </c>
      <c r="CE149" s="173">
        <v>0</v>
      </c>
      <c r="CF149" s="177">
        <v>0</v>
      </c>
      <c r="CG149" s="2">
        <f>AS149*Weightings!$M$5*CF149</f>
        <v>0</v>
      </c>
      <c r="CH149" s="2">
        <f t="shared" si="198"/>
        <v>0</v>
      </c>
      <c r="CI149" s="117">
        <f t="shared" si="226"/>
        <v>0.42899999999999999</v>
      </c>
      <c r="CJ149" s="4">
        <f t="shared" si="227"/>
        <v>1.1000000000000001</v>
      </c>
      <c r="CK149" s="1">
        <f t="shared" si="235"/>
        <v>0</v>
      </c>
      <c r="CL149" s="1">
        <f t="shared" si="236"/>
        <v>0</v>
      </c>
      <c r="CM149" s="1">
        <f t="shared" si="237"/>
        <v>24.5</v>
      </c>
      <c r="CN149" s="1">
        <f>IF(ISNA(VLOOKUP($CZ149,'Audit Values'!$A$2:$AE$439,2,FALSE)),'Preliminary SO66'!T146,VLOOKUP($CZ149,'Audit Values'!$A$2:$AE$439,20,FALSE))</f>
        <v>0</v>
      </c>
      <c r="CO149" s="1">
        <f t="shared" si="228"/>
        <v>0</v>
      </c>
      <c r="CP149" s="183">
        <v>0</v>
      </c>
      <c r="CQ149" s="1">
        <f t="shared" si="229"/>
        <v>0</v>
      </c>
      <c r="CR149" s="2">
        <f>IF(ISNA(VLOOKUP($CZ149,'Audit Values'!$A$2:$AE$439,2,FALSE)),'Preliminary SO66'!V146,VLOOKUP($CZ149,'Audit Values'!$A$2:$AE$439,22,FALSE))</f>
        <v>0</v>
      </c>
      <c r="CS149" s="1">
        <f t="shared" si="230"/>
        <v>0</v>
      </c>
      <c r="CT149" s="2">
        <f>IF(ISNA(VLOOKUP($CZ149,'Audit Values'!$A$2:$AE$439,2,FALSE)),'Preliminary SO66'!W146,VLOOKUP($CZ149,'Audit Values'!$A$2:$AE$439,23,FALSE))</f>
        <v>0</v>
      </c>
      <c r="CU149" s="1">
        <f t="shared" si="192"/>
        <v>0</v>
      </c>
      <c r="CV149" s="1">
        <f t="shared" si="193"/>
        <v>0</v>
      </c>
      <c r="CW149" s="176">
        <v>0</v>
      </c>
      <c r="CX149" s="2">
        <f>IF(CW149&gt;0,Weightings!$M$11*AR149,0)</f>
        <v>0</v>
      </c>
      <c r="CY149" s="2">
        <f t="shared" si="238"/>
        <v>0</v>
      </c>
      <c r="CZ149" s="108" t="s">
        <v>441</v>
      </c>
    </row>
    <row r="150" spans="1:104">
      <c r="A150" s="82">
        <v>353</v>
      </c>
      <c r="B150" s="4" t="s">
        <v>68</v>
      </c>
      <c r="C150" s="4" t="s">
        <v>777</v>
      </c>
      <c r="D150" s="1">
        <v>1607.6</v>
      </c>
      <c r="E150" s="1">
        <v>0</v>
      </c>
      <c r="F150" s="1">
        <f t="shared" si="240"/>
        <v>1607.6</v>
      </c>
      <c r="G150" s="1">
        <v>1571.5</v>
      </c>
      <c r="H150" s="1">
        <v>0</v>
      </c>
      <c r="I150" s="1">
        <f t="shared" si="201"/>
        <v>1571.5</v>
      </c>
      <c r="J150" s="1">
        <f t="shared" si="202"/>
        <v>1515.5</v>
      </c>
      <c r="K150" s="1">
        <f>IF(ISNA(VLOOKUP($CZ150,'Audit Values'!$A$2:$AE$439,2,FALSE)),'Preliminary SO66'!B147,VLOOKUP($CZ150,'Audit Values'!$A$2:$AE$439,31,FALSE))</f>
        <v>1515.5</v>
      </c>
      <c r="L150" s="1">
        <f t="shared" si="203"/>
        <v>1571.5</v>
      </c>
      <c r="M150" s="1">
        <f>IF(ISNA(VLOOKUP($CZ150,'Audit Values'!$A$2:$AE$439,2,FALSE)),'Preliminary SO66'!Z147,VLOOKUP($CZ150,'Audit Values'!$A$2:$AE$439,26,FALSE))</f>
        <v>0</v>
      </c>
      <c r="N150" s="1">
        <f t="shared" si="204"/>
        <v>1571.5</v>
      </c>
      <c r="O150" s="1">
        <f>IF(ISNA(VLOOKUP($CZ150,'Audit Values'!$A$2:$AE$439,2,FALSE)),'Preliminary SO66'!C147,IF(VLOOKUP($CZ150,'Audit Values'!$A$2:$AE$439,28,FALSE)="",VLOOKUP($CZ150,'Audit Values'!$A$2:$AE$439,3,FALSE),VLOOKUP($CZ150,'Audit Values'!$A$2:$AE$439,28,FALSE)))</f>
        <v>6</v>
      </c>
      <c r="P150" s="109">
        <f t="shared" si="205"/>
        <v>1521.5</v>
      </c>
      <c r="Q150" s="110">
        <f t="shared" si="206"/>
        <v>1521.5</v>
      </c>
      <c r="R150" s="111">
        <f t="shared" si="207"/>
        <v>1521.5</v>
      </c>
      <c r="S150" s="1">
        <f t="shared" si="208"/>
        <v>1577.5</v>
      </c>
      <c r="T150" s="1">
        <f t="shared" si="239"/>
        <v>0</v>
      </c>
      <c r="U150" s="1">
        <f t="shared" si="209"/>
        <v>79.099999999999994</v>
      </c>
      <c r="V150" s="1">
        <f t="shared" si="199"/>
        <v>79.099999999999994</v>
      </c>
      <c r="W150" s="1">
        <f t="shared" si="200"/>
        <v>0</v>
      </c>
      <c r="X150" s="1">
        <f>IF(ISNA(VLOOKUP($CZ150,'Audit Values'!$A$2:$AE$439,2,FALSE)),'Preliminary SO66'!D147,VLOOKUP($CZ150,'Audit Values'!$A$2:$AE$439,4,FALSE))</f>
        <v>401.7</v>
      </c>
      <c r="Y150" s="1">
        <f>ROUND((X150/6)*Weightings!$M$6,1)</f>
        <v>33.5</v>
      </c>
      <c r="Z150" s="1">
        <f>IF(ISNA(VLOOKUP($CZ150,'Audit Values'!$A$2:$AE$439,2,FALSE)),'Preliminary SO66'!F147,VLOOKUP($CZ150,'Audit Values'!$A$2:$AE$439,6,FALSE))</f>
        <v>3.5</v>
      </c>
      <c r="AA150" s="1">
        <f>ROUND((Z150/6)*Weightings!$M$7,1)</f>
        <v>0.2</v>
      </c>
      <c r="AB150" s="2">
        <f>IF(ISNA(VLOOKUP($CZ150,'Audit Values'!$A$2:$AE$439,2,FALSE)),'Preliminary SO66'!H147,VLOOKUP($CZ150,'Audit Values'!$A$2:$AE$439,8,FALSE))</f>
        <v>730</v>
      </c>
      <c r="AC150" s="1">
        <f>ROUND(AB150*Weightings!$M$8,1)</f>
        <v>332.9</v>
      </c>
      <c r="AD150" s="1">
        <f t="shared" si="197"/>
        <v>57.7</v>
      </c>
      <c r="AE150" s="185">
        <v>109</v>
      </c>
      <c r="AF150" s="1">
        <f>AE150*Weightings!$M$9</f>
        <v>5.0999999999999996</v>
      </c>
      <c r="AG150" s="1">
        <f>IF(ISNA(VLOOKUP($CZ150,'Audit Values'!$A$2:$AE$439,2,FALSE)),'Preliminary SO66'!L147,VLOOKUP($CZ150,'Audit Values'!$A$2:$AE$439,12,FALSE))</f>
        <v>0</v>
      </c>
      <c r="AH150" s="1">
        <f>ROUND(AG150*Weightings!$M$10,1)</f>
        <v>0</v>
      </c>
      <c r="AI150" s="1">
        <f>IF(ISNA(VLOOKUP($CZ150,'Audit Values'!$A$2:$AE$439,2,FALSE)),'Preliminary SO66'!O147,VLOOKUP($CZ150,'Audit Values'!$A$2:$AE$439,15,FALSE))</f>
        <v>166</v>
      </c>
      <c r="AJ150" s="1">
        <f t="shared" si="210"/>
        <v>46.6</v>
      </c>
      <c r="AK150" s="1">
        <f>CC150/Weightings!$M$5</f>
        <v>0</v>
      </c>
      <c r="AL150" s="1">
        <f>CD150/Weightings!$M$5</f>
        <v>0</v>
      </c>
      <c r="AM150" s="1">
        <f>CH150/Weightings!$M$5</f>
        <v>0</v>
      </c>
      <c r="AN150" s="1">
        <f t="shared" si="211"/>
        <v>0</v>
      </c>
      <c r="AO150" s="1">
        <f>IF(ISNA(VLOOKUP($CZ150,'Audit Values'!$A$2:$AE$439,2,FALSE)),'Preliminary SO66'!X147,VLOOKUP($CZ150,'Audit Values'!$A$2:$AE$439,24,FALSE))</f>
        <v>0</v>
      </c>
      <c r="AP150" s="188">
        <v>2170763</v>
      </c>
      <c r="AQ150" s="113">
        <f>AP150/Weightings!$M$5</f>
        <v>565.6</v>
      </c>
      <c r="AR150" s="113">
        <f t="shared" si="212"/>
        <v>2132.6</v>
      </c>
      <c r="AS150" s="1">
        <f t="shared" si="213"/>
        <v>2698.2</v>
      </c>
      <c r="AT150" s="1">
        <f t="shared" si="214"/>
        <v>2698.2</v>
      </c>
      <c r="AU150" s="2">
        <f t="shared" si="231"/>
        <v>0</v>
      </c>
      <c r="AV150" s="82">
        <f>IF(ISNA(VLOOKUP($CZ150,'Audit Values'!$A$2:$AC$360,2,FALSE)),"",IF(AND(Weightings!H150&gt;0,VLOOKUP($CZ150,'Audit Values'!$A$2:$AC$360,29,FALSE)&lt;Weightings!H150),Weightings!H150,VLOOKUP($CZ150,'Audit Values'!$A$2:$AC$360,29,FALSE)))</f>
        <v>6</v>
      </c>
      <c r="AW150" s="82" t="str">
        <f>IF(ISNA(VLOOKUP($CZ150,'Audit Values'!$A$2:$AD$360,2,FALSE)),"",VLOOKUP($CZ150,'Audit Values'!$A$2:$AD$360,30,FALSE))</f>
        <v>A</v>
      </c>
      <c r="AX150" s="82" t="str">
        <f>IF(Weightings!G150="","",IF(Weightings!I150="Pending","PX","R"))</f>
        <v/>
      </c>
      <c r="AY150" s="114">
        <f>AR150*Weightings!$M$5+AU150</f>
        <v>8184919</v>
      </c>
      <c r="AZ150" s="2">
        <f>AT150*Weightings!$M$5+AU150</f>
        <v>10355692</v>
      </c>
      <c r="BA150" s="2">
        <f>IF(Weightings!G150&gt;0,Weightings!G150,'Preliminary SO66'!AB147)</f>
        <v>10600556</v>
      </c>
      <c r="BB150" s="2">
        <f t="shared" si="215"/>
        <v>10355692</v>
      </c>
      <c r="BC150" s="124"/>
      <c r="BD150" s="124">
        <f>Weightings!E150</f>
        <v>0</v>
      </c>
      <c r="BE150" s="124">
        <f>Weightings!F150</f>
        <v>0</v>
      </c>
      <c r="BF150" s="2">
        <f t="shared" si="216"/>
        <v>0</v>
      </c>
      <c r="BG150" s="2">
        <f t="shared" si="217"/>
        <v>10355692</v>
      </c>
      <c r="BH150" s="2">
        <f>MAX(ROUND(((AR150-AO150)*4433)+AP150,0),ROUND(((AR150-AO150)*4433)+Weightings!B150,0))</f>
        <v>11624579</v>
      </c>
      <c r="BI150" s="174">
        <v>0.3</v>
      </c>
      <c r="BJ150" s="2">
        <f t="shared" si="191"/>
        <v>3487374</v>
      </c>
      <c r="BK150" s="173">
        <v>3567166</v>
      </c>
      <c r="BL150" s="2">
        <f t="shared" si="194"/>
        <v>3487374</v>
      </c>
      <c r="BM150" s="3">
        <f t="shared" si="232"/>
        <v>0.3</v>
      </c>
      <c r="BN150" s="1">
        <f t="shared" si="218"/>
        <v>0</v>
      </c>
      <c r="BO150" s="4" t="b">
        <f t="shared" si="219"/>
        <v>0</v>
      </c>
      <c r="BP150" s="5">
        <f t="shared" si="220"/>
        <v>0</v>
      </c>
      <c r="BQ150" s="6">
        <f t="shared" si="195"/>
        <v>0</v>
      </c>
      <c r="BR150" s="4">
        <f t="shared" si="221"/>
        <v>0</v>
      </c>
      <c r="BS150" s="4" t="b">
        <f t="shared" si="222"/>
        <v>1</v>
      </c>
      <c r="BT150" s="4">
        <f t="shared" si="223"/>
        <v>1580.9063000000001</v>
      </c>
      <c r="BU150" s="6">
        <f t="shared" si="196"/>
        <v>5.0158000000000001E-2</v>
      </c>
      <c r="BV150" s="1">
        <f t="shared" si="224"/>
        <v>79.099999999999994</v>
      </c>
      <c r="BW150" s="1">
        <f t="shared" si="225"/>
        <v>0</v>
      </c>
      <c r="BX150" s="116">
        <v>228.5</v>
      </c>
      <c r="BY150" s="7">
        <f t="shared" si="233"/>
        <v>0.73</v>
      </c>
      <c r="BZ150" s="7">
        <f>IF(ROUND((Weightings!$P$5*BY150^Weightings!$P$6*Weightings!$P$8 ),2)&lt;Weightings!$P$7,Weightings!$P$7,ROUND((Weightings!$P$5*BY150^Weightings!$P$6*Weightings!$P$8 ),2))</f>
        <v>1076.8399999999999</v>
      </c>
      <c r="CA150" s="8">
        <f>ROUND(BZ150/Weightings!$M$5,4)</f>
        <v>0.28060000000000002</v>
      </c>
      <c r="CB150" s="1">
        <f t="shared" si="234"/>
        <v>46.6</v>
      </c>
      <c r="CC150" s="173">
        <v>0</v>
      </c>
      <c r="CD150" s="173">
        <v>0</v>
      </c>
      <c r="CE150" s="173">
        <v>0</v>
      </c>
      <c r="CF150" s="177">
        <v>0</v>
      </c>
      <c r="CG150" s="2">
        <f>AS150*Weightings!$M$5*CF150</f>
        <v>0</v>
      </c>
      <c r="CH150" s="2">
        <f t="shared" si="198"/>
        <v>0</v>
      </c>
      <c r="CI150" s="117">
        <f t="shared" si="226"/>
        <v>0.46300000000000002</v>
      </c>
      <c r="CJ150" s="4">
        <f t="shared" si="227"/>
        <v>6.9</v>
      </c>
      <c r="CK150" s="1">
        <f t="shared" si="235"/>
        <v>0</v>
      </c>
      <c r="CL150" s="1">
        <f t="shared" si="236"/>
        <v>0</v>
      </c>
      <c r="CM150" s="1">
        <f t="shared" si="237"/>
        <v>57.7</v>
      </c>
      <c r="CN150" s="1">
        <f>IF(ISNA(VLOOKUP($CZ150,'Audit Values'!$A$2:$AE$439,2,FALSE)),'Preliminary SO66'!T147,VLOOKUP($CZ150,'Audit Values'!$A$2:$AE$439,20,FALSE))</f>
        <v>0</v>
      </c>
      <c r="CO150" s="1">
        <f t="shared" si="228"/>
        <v>0</v>
      </c>
      <c r="CP150" s="183">
        <v>0</v>
      </c>
      <c r="CQ150" s="1">
        <f t="shared" si="229"/>
        <v>0</v>
      </c>
      <c r="CR150" s="2">
        <f>IF(ISNA(VLOOKUP($CZ150,'Audit Values'!$A$2:$AE$439,2,FALSE)),'Preliminary SO66'!V147,VLOOKUP($CZ150,'Audit Values'!$A$2:$AE$439,22,FALSE))</f>
        <v>0</v>
      </c>
      <c r="CS150" s="1">
        <f t="shared" si="230"/>
        <v>0</v>
      </c>
      <c r="CT150" s="2">
        <f>IF(ISNA(VLOOKUP($CZ150,'Audit Values'!$A$2:$AE$439,2,FALSE)),'Preliminary SO66'!W147,VLOOKUP($CZ150,'Audit Values'!$A$2:$AE$439,23,FALSE))</f>
        <v>0</v>
      </c>
      <c r="CU150" s="1">
        <f t="shared" si="192"/>
        <v>0</v>
      </c>
      <c r="CV150" s="1">
        <f t="shared" si="193"/>
        <v>0</v>
      </c>
      <c r="CW150" s="176">
        <v>0</v>
      </c>
      <c r="CX150" s="2">
        <f>IF(CW150&gt;0,Weightings!$M$11*AR150,0)</f>
        <v>0</v>
      </c>
      <c r="CY150" s="2">
        <f t="shared" si="238"/>
        <v>0</v>
      </c>
      <c r="CZ150" s="108" t="s">
        <v>442</v>
      </c>
    </row>
    <row r="151" spans="1:104">
      <c r="A151" s="82">
        <v>355</v>
      </c>
      <c r="B151" s="4" t="s">
        <v>69</v>
      </c>
      <c r="C151" s="4" t="s">
        <v>778</v>
      </c>
      <c r="D151" s="1">
        <v>379.5</v>
      </c>
      <c r="E151" s="1">
        <v>0</v>
      </c>
      <c r="F151" s="1">
        <f t="shared" si="240"/>
        <v>379.5</v>
      </c>
      <c r="G151" s="1">
        <v>403.4</v>
      </c>
      <c r="H151" s="1">
        <v>0</v>
      </c>
      <c r="I151" s="1">
        <f t="shared" si="201"/>
        <v>403.4</v>
      </c>
      <c r="J151" s="1">
        <f t="shared" si="202"/>
        <v>409.2</v>
      </c>
      <c r="K151" s="1">
        <f>IF(ISNA(VLOOKUP($CZ151,'Audit Values'!$A$2:$AE$439,2,FALSE)),'Preliminary SO66'!B148,VLOOKUP($CZ151,'Audit Values'!$A$2:$AE$439,31,FALSE))</f>
        <v>409.2</v>
      </c>
      <c r="L151" s="1">
        <f t="shared" si="203"/>
        <v>409.2</v>
      </c>
      <c r="M151" s="1">
        <f>IF(ISNA(VLOOKUP($CZ151,'Audit Values'!$A$2:$AE$439,2,FALSE)),'Preliminary SO66'!Z148,VLOOKUP($CZ151,'Audit Values'!$A$2:$AE$439,26,FALSE))</f>
        <v>0</v>
      </c>
      <c r="N151" s="1">
        <f t="shared" si="204"/>
        <v>409.2</v>
      </c>
      <c r="O151" s="1">
        <f>IF(ISNA(VLOOKUP($CZ151,'Audit Values'!$A$2:$AE$439,2,FALSE)),'Preliminary SO66'!C148,IF(VLOOKUP($CZ151,'Audit Values'!$A$2:$AE$439,28,FALSE)="",VLOOKUP($CZ151,'Audit Values'!$A$2:$AE$439,3,FALSE),VLOOKUP($CZ151,'Audit Values'!$A$2:$AE$439,28,FALSE)))</f>
        <v>0</v>
      </c>
      <c r="P151" s="109">
        <f t="shared" si="205"/>
        <v>409.2</v>
      </c>
      <c r="Q151" s="110">
        <f t="shared" si="206"/>
        <v>409.2</v>
      </c>
      <c r="R151" s="111">
        <f t="shared" si="207"/>
        <v>409.2</v>
      </c>
      <c r="S151" s="1">
        <f t="shared" si="208"/>
        <v>409.2</v>
      </c>
      <c r="T151" s="1">
        <f t="shared" si="239"/>
        <v>0</v>
      </c>
      <c r="U151" s="1">
        <f t="shared" si="209"/>
        <v>182.9</v>
      </c>
      <c r="V151" s="1">
        <f t="shared" si="199"/>
        <v>182.9</v>
      </c>
      <c r="W151" s="1">
        <f t="shared" si="200"/>
        <v>0</v>
      </c>
      <c r="X151" s="1">
        <f>IF(ISNA(VLOOKUP($CZ151,'Audit Values'!$A$2:$AE$439,2,FALSE)),'Preliminary SO66'!D148,VLOOKUP($CZ151,'Audit Values'!$A$2:$AE$439,4,FALSE))</f>
        <v>137.5</v>
      </c>
      <c r="Y151" s="1">
        <f>ROUND((X151/6)*Weightings!$M$6,1)</f>
        <v>11.5</v>
      </c>
      <c r="Z151" s="1">
        <f>IF(ISNA(VLOOKUP($CZ151,'Audit Values'!$A$2:$AE$439,2,FALSE)),'Preliminary SO66'!F148,VLOOKUP($CZ151,'Audit Values'!$A$2:$AE$439,6,FALSE))</f>
        <v>0</v>
      </c>
      <c r="AA151" s="1">
        <f>ROUND((Z151/6)*Weightings!$M$7,1)</f>
        <v>0</v>
      </c>
      <c r="AB151" s="2">
        <f>IF(ISNA(VLOOKUP($CZ151,'Audit Values'!$A$2:$AE$439,2,FALSE)),'Preliminary SO66'!H148,VLOOKUP($CZ151,'Audit Values'!$A$2:$AE$439,8,FALSE))</f>
        <v>178</v>
      </c>
      <c r="AC151" s="1">
        <f>ROUND(AB151*Weightings!$M$8,1)</f>
        <v>81.2</v>
      </c>
      <c r="AD151" s="1">
        <f t="shared" si="197"/>
        <v>10.6</v>
      </c>
      <c r="AE151" s="185">
        <v>28</v>
      </c>
      <c r="AF151" s="1">
        <f>AE151*Weightings!$M$9</f>
        <v>1.3</v>
      </c>
      <c r="AG151" s="1">
        <f>IF(ISNA(VLOOKUP($CZ151,'Audit Values'!$A$2:$AE$439,2,FALSE)),'Preliminary SO66'!L148,VLOOKUP($CZ151,'Audit Values'!$A$2:$AE$439,12,FALSE))</f>
        <v>0</v>
      </c>
      <c r="AH151" s="1">
        <f>ROUND(AG151*Weightings!$M$10,1)</f>
        <v>0</v>
      </c>
      <c r="AI151" s="1">
        <f>IF(ISNA(VLOOKUP($CZ151,'Audit Values'!$A$2:$AE$439,2,FALSE)),'Preliminary SO66'!O148,VLOOKUP($CZ151,'Audit Values'!$A$2:$AE$439,15,FALSE))</f>
        <v>69.900000000000006</v>
      </c>
      <c r="AJ151" s="1">
        <f t="shared" si="210"/>
        <v>21.9</v>
      </c>
      <c r="AK151" s="1">
        <f>CC151/Weightings!$M$5</f>
        <v>0</v>
      </c>
      <c r="AL151" s="1">
        <f>CD151/Weightings!$M$5</f>
        <v>0</v>
      </c>
      <c r="AM151" s="1">
        <f>CH151/Weightings!$M$5</f>
        <v>0</v>
      </c>
      <c r="AN151" s="1">
        <f t="shared" si="211"/>
        <v>0</v>
      </c>
      <c r="AO151" s="1">
        <f>IF(ISNA(VLOOKUP($CZ151,'Audit Values'!$A$2:$AE$439,2,FALSE)),'Preliminary SO66'!X148,VLOOKUP($CZ151,'Audit Values'!$A$2:$AE$439,24,FALSE))</f>
        <v>0</v>
      </c>
      <c r="AP151" s="188">
        <v>451696</v>
      </c>
      <c r="AQ151" s="113">
        <f>AP151/Weightings!$M$5</f>
        <v>117.7</v>
      </c>
      <c r="AR151" s="113">
        <f t="shared" si="212"/>
        <v>718.6</v>
      </c>
      <c r="AS151" s="1">
        <f t="shared" si="213"/>
        <v>836.3</v>
      </c>
      <c r="AT151" s="1">
        <f t="shared" si="214"/>
        <v>836.3</v>
      </c>
      <c r="AU151" s="2">
        <f t="shared" si="231"/>
        <v>0</v>
      </c>
      <c r="AV151" s="82">
        <f>IF(ISNA(VLOOKUP($CZ151,'Audit Values'!$A$2:$AC$360,2,FALSE)),"",IF(AND(Weightings!H151&gt;0,VLOOKUP($CZ151,'Audit Values'!$A$2:$AC$360,29,FALSE)&lt;Weightings!H151),Weightings!H151,VLOOKUP($CZ151,'Audit Values'!$A$2:$AC$360,29,FALSE)))</f>
        <v>21</v>
      </c>
      <c r="AW151" s="82" t="str">
        <f>IF(ISNA(VLOOKUP($CZ151,'Audit Values'!$A$2:$AD$360,2,FALSE)),"",VLOOKUP($CZ151,'Audit Values'!$A$2:$AD$360,30,FALSE))</f>
        <v>A</v>
      </c>
      <c r="AX151" s="82" t="str">
        <f>IF(Weightings!G151="","",IF(Weightings!I151="Pending","PX","R"))</f>
        <v/>
      </c>
      <c r="AY151" s="114">
        <f>AR151*Weightings!$M$5+AU151</f>
        <v>2757987</v>
      </c>
      <c r="AZ151" s="2">
        <f>AT151*Weightings!$M$5+AU151</f>
        <v>3209719</v>
      </c>
      <c r="BA151" s="2">
        <f>IF(Weightings!G151&gt;0,Weightings!G151,'Preliminary SO66'!AB148)</f>
        <v>3520214</v>
      </c>
      <c r="BB151" s="2">
        <f t="shared" si="215"/>
        <v>3209719</v>
      </c>
      <c r="BC151" s="124"/>
      <c r="BD151" s="124">
        <f>Weightings!E151</f>
        <v>0</v>
      </c>
      <c r="BE151" s="124">
        <f>Weightings!F151</f>
        <v>0</v>
      </c>
      <c r="BF151" s="2">
        <f t="shared" si="216"/>
        <v>0</v>
      </c>
      <c r="BG151" s="2">
        <f t="shared" si="217"/>
        <v>3209719</v>
      </c>
      <c r="BH151" s="2">
        <f>MAX(ROUND(((AR151-AO151)*4433)+AP151,0),ROUND(((AR151-AO151)*4433)+Weightings!B151,0))</f>
        <v>3637250</v>
      </c>
      <c r="BI151" s="174">
        <v>0.3</v>
      </c>
      <c r="BJ151" s="2">
        <f t="shared" si="191"/>
        <v>1091175</v>
      </c>
      <c r="BK151" s="173">
        <v>1194661</v>
      </c>
      <c r="BL151" s="2">
        <f t="shared" si="194"/>
        <v>1091175</v>
      </c>
      <c r="BM151" s="3">
        <f t="shared" si="232"/>
        <v>0.3</v>
      </c>
      <c r="BN151" s="1">
        <f t="shared" si="218"/>
        <v>0</v>
      </c>
      <c r="BO151" s="4" t="b">
        <f t="shared" si="219"/>
        <v>0</v>
      </c>
      <c r="BP151" s="5">
        <f t="shared" si="220"/>
        <v>0</v>
      </c>
      <c r="BQ151" s="6">
        <f t="shared" si="195"/>
        <v>0</v>
      </c>
      <c r="BR151" s="4">
        <f t="shared" si="221"/>
        <v>0</v>
      </c>
      <c r="BS151" s="4" t="b">
        <f t="shared" si="222"/>
        <v>1</v>
      </c>
      <c r="BT151" s="4">
        <f t="shared" si="223"/>
        <v>135.13499999999999</v>
      </c>
      <c r="BU151" s="6">
        <f t="shared" si="196"/>
        <v>0.44708599999999998</v>
      </c>
      <c r="BV151" s="1">
        <f t="shared" si="224"/>
        <v>182.9</v>
      </c>
      <c r="BW151" s="1">
        <f t="shared" si="225"/>
        <v>0</v>
      </c>
      <c r="BX151" s="116">
        <v>154</v>
      </c>
      <c r="BY151" s="7">
        <f t="shared" si="233"/>
        <v>0.45</v>
      </c>
      <c r="BZ151" s="7">
        <f>IF(ROUND((Weightings!$P$5*BY151^Weightings!$P$6*Weightings!$P$8 ),2)&lt;Weightings!$P$7,Weightings!$P$7,ROUND((Weightings!$P$5*BY151^Weightings!$P$6*Weightings!$P$8 ),2))</f>
        <v>1202.48</v>
      </c>
      <c r="CA151" s="8">
        <f>ROUND(BZ151/Weightings!$M$5,4)</f>
        <v>0.31330000000000002</v>
      </c>
      <c r="CB151" s="1">
        <f t="shared" si="234"/>
        <v>21.9</v>
      </c>
      <c r="CC151" s="173">
        <v>0</v>
      </c>
      <c r="CD151" s="173">
        <v>0</v>
      </c>
      <c r="CE151" s="173">
        <v>0</v>
      </c>
      <c r="CF151" s="177">
        <v>0</v>
      </c>
      <c r="CG151" s="2">
        <f>AS151*Weightings!$M$5*CF151</f>
        <v>0</v>
      </c>
      <c r="CH151" s="2">
        <f t="shared" si="198"/>
        <v>0</v>
      </c>
      <c r="CI151" s="117">
        <f t="shared" si="226"/>
        <v>0.435</v>
      </c>
      <c r="CJ151" s="4">
        <f t="shared" si="227"/>
        <v>2.7</v>
      </c>
      <c r="CK151" s="1">
        <f t="shared" si="235"/>
        <v>0</v>
      </c>
      <c r="CL151" s="1">
        <f t="shared" si="236"/>
        <v>0</v>
      </c>
      <c r="CM151" s="1">
        <f t="shared" si="237"/>
        <v>10.6</v>
      </c>
      <c r="CN151" s="1">
        <f>IF(ISNA(VLOOKUP($CZ151,'Audit Values'!$A$2:$AE$439,2,FALSE)),'Preliminary SO66'!T148,VLOOKUP($CZ151,'Audit Values'!$A$2:$AE$439,20,FALSE))</f>
        <v>0</v>
      </c>
      <c r="CO151" s="1">
        <f t="shared" si="228"/>
        <v>0</v>
      </c>
      <c r="CP151" s="183">
        <v>0</v>
      </c>
      <c r="CQ151" s="1">
        <f t="shared" si="229"/>
        <v>0</v>
      </c>
      <c r="CR151" s="2">
        <f>IF(ISNA(VLOOKUP($CZ151,'Audit Values'!$A$2:$AE$439,2,FALSE)),'Preliminary SO66'!V148,VLOOKUP($CZ151,'Audit Values'!$A$2:$AE$439,22,FALSE))</f>
        <v>0</v>
      </c>
      <c r="CS151" s="1">
        <f t="shared" si="230"/>
        <v>0</v>
      </c>
      <c r="CT151" s="2">
        <f>IF(ISNA(VLOOKUP($CZ151,'Audit Values'!$A$2:$AE$439,2,FALSE)),'Preliminary SO66'!W148,VLOOKUP($CZ151,'Audit Values'!$A$2:$AE$439,23,FALSE))</f>
        <v>0</v>
      </c>
      <c r="CU151" s="1">
        <f t="shared" ref="CU151:CU182" si="241">CT151*0.08</f>
        <v>0</v>
      </c>
      <c r="CV151" s="1">
        <f t="shared" ref="CV151:CV182" si="242">CO151+CQ151+CS151+CU151</f>
        <v>0</v>
      </c>
      <c r="CW151" s="176">
        <v>0</v>
      </c>
      <c r="CX151" s="2">
        <f>IF(CW151&gt;0,Weightings!$M$11*AR151,0)</f>
        <v>0</v>
      </c>
      <c r="CY151" s="2">
        <f t="shared" si="238"/>
        <v>0</v>
      </c>
      <c r="CZ151" s="108" t="s">
        <v>443</v>
      </c>
    </row>
    <row r="152" spans="1:104">
      <c r="A152" s="82">
        <v>356</v>
      </c>
      <c r="B152" s="4" t="s">
        <v>68</v>
      </c>
      <c r="C152" s="4" t="s">
        <v>779</v>
      </c>
      <c r="D152" s="1">
        <v>513.70000000000005</v>
      </c>
      <c r="E152" s="1">
        <v>0</v>
      </c>
      <c r="F152" s="1">
        <f t="shared" si="240"/>
        <v>513.70000000000005</v>
      </c>
      <c r="G152" s="1">
        <v>514.70000000000005</v>
      </c>
      <c r="H152" s="1">
        <v>0</v>
      </c>
      <c r="I152" s="1">
        <f t="shared" si="201"/>
        <v>514.70000000000005</v>
      </c>
      <c r="J152" s="1">
        <f t="shared" si="202"/>
        <v>492.3</v>
      </c>
      <c r="K152" s="1">
        <f>IF(ISNA(VLOOKUP($CZ152,'Audit Values'!$A$2:$AE$439,2,FALSE)),'Preliminary SO66'!B149,VLOOKUP($CZ152,'Audit Values'!$A$2:$AE$439,31,FALSE))</f>
        <v>492.3</v>
      </c>
      <c r="L152" s="1">
        <f t="shared" si="203"/>
        <v>514.70000000000005</v>
      </c>
      <c r="M152" s="1">
        <f>IF(ISNA(VLOOKUP($CZ152,'Audit Values'!$A$2:$AE$439,2,FALSE)),'Preliminary SO66'!Z149,VLOOKUP($CZ152,'Audit Values'!$A$2:$AE$439,26,FALSE))</f>
        <v>0</v>
      </c>
      <c r="N152" s="1">
        <f t="shared" si="204"/>
        <v>514.70000000000005</v>
      </c>
      <c r="O152" s="1">
        <f>IF(ISNA(VLOOKUP($CZ152,'Audit Values'!$A$2:$AE$439,2,FALSE)),'Preliminary SO66'!C149,IF(VLOOKUP($CZ152,'Audit Values'!$A$2:$AE$439,28,FALSE)="",VLOOKUP($CZ152,'Audit Values'!$A$2:$AE$439,3,FALSE),VLOOKUP($CZ152,'Audit Values'!$A$2:$AE$439,28,FALSE)))</f>
        <v>0</v>
      </c>
      <c r="P152" s="109">
        <f t="shared" si="205"/>
        <v>492.3</v>
      </c>
      <c r="Q152" s="110">
        <f t="shared" si="206"/>
        <v>492.3</v>
      </c>
      <c r="R152" s="111">
        <f t="shared" si="207"/>
        <v>492.3</v>
      </c>
      <c r="S152" s="1">
        <f t="shared" si="208"/>
        <v>514.70000000000005</v>
      </c>
      <c r="T152" s="1">
        <f t="shared" si="239"/>
        <v>0</v>
      </c>
      <c r="U152" s="1">
        <f t="shared" si="209"/>
        <v>211.7</v>
      </c>
      <c r="V152" s="1">
        <f t="shared" si="199"/>
        <v>211.7</v>
      </c>
      <c r="W152" s="1">
        <f t="shared" si="200"/>
        <v>0</v>
      </c>
      <c r="X152" s="1">
        <f>IF(ISNA(VLOOKUP($CZ152,'Audit Values'!$A$2:$AE$439,2,FALSE)),'Preliminary SO66'!D149,VLOOKUP($CZ152,'Audit Values'!$A$2:$AE$439,4,FALSE))</f>
        <v>137.5</v>
      </c>
      <c r="Y152" s="1">
        <f>ROUND((X152/6)*Weightings!$M$6,1)</f>
        <v>11.5</v>
      </c>
      <c r="Z152" s="1">
        <f>IF(ISNA(VLOOKUP($CZ152,'Audit Values'!$A$2:$AE$439,2,FALSE)),'Preliminary SO66'!F149,VLOOKUP($CZ152,'Audit Values'!$A$2:$AE$439,6,FALSE))</f>
        <v>0</v>
      </c>
      <c r="AA152" s="1">
        <f>ROUND((Z152/6)*Weightings!$M$7,1)</f>
        <v>0</v>
      </c>
      <c r="AB152" s="2">
        <f>IF(ISNA(VLOOKUP($CZ152,'Audit Values'!$A$2:$AE$439,2,FALSE)),'Preliminary SO66'!H149,VLOOKUP($CZ152,'Audit Values'!$A$2:$AE$439,8,FALSE))</f>
        <v>147</v>
      </c>
      <c r="AC152" s="1">
        <f>ROUND(AB152*Weightings!$M$8,1)</f>
        <v>67</v>
      </c>
      <c r="AD152" s="1">
        <f t="shared" si="197"/>
        <v>0</v>
      </c>
      <c r="AE152" s="185">
        <v>33</v>
      </c>
      <c r="AF152" s="1">
        <f>AE152*Weightings!$M$9</f>
        <v>1.5</v>
      </c>
      <c r="AG152" s="1">
        <f>IF(ISNA(VLOOKUP($CZ152,'Audit Values'!$A$2:$AE$439,2,FALSE)),'Preliminary SO66'!L149,VLOOKUP($CZ152,'Audit Values'!$A$2:$AE$439,12,FALSE))</f>
        <v>0</v>
      </c>
      <c r="AH152" s="1">
        <f>ROUND(AG152*Weightings!$M$10,1)</f>
        <v>0</v>
      </c>
      <c r="AI152" s="1">
        <f>IF(ISNA(VLOOKUP($CZ152,'Audit Values'!$A$2:$AE$439,2,FALSE)),'Preliminary SO66'!O149,VLOOKUP($CZ152,'Audit Values'!$A$2:$AE$439,15,FALSE))</f>
        <v>156</v>
      </c>
      <c r="AJ152" s="1">
        <f t="shared" si="210"/>
        <v>40.799999999999997</v>
      </c>
      <c r="AK152" s="1">
        <f>CC152/Weightings!$M$5</f>
        <v>0</v>
      </c>
      <c r="AL152" s="1">
        <f>CD152/Weightings!$M$5</f>
        <v>0</v>
      </c>
      <c r="AM152" s="1">
        <f>CH152/Weightings!$M$5</f>
        <v>0</v>
      </c>
      <c r="AN152" s="1">
        <f t="shared" si="211"/>
        <v>0</v>
      </c>
      <c r="AO152" s="1">
        <f>IF(ISNA(VLOOKUP($CZ152,'Audit Values'!$A$2:$AE$439,2,FALSE)),'Preliminary SO66'!X149,VLOOKUP($CZ152,'Audit Values'!$A$2:$AE$439,24,FALSE))</f>
        <v>0</v>
      </c>
      <c r="AP152" s="188">
        <v>492037</v>
      </c>
      <c r="AQ152" s="113">
        <f>AP152/Weightings!$M$5</f>
        <v>128.19999999999999</v>
      </c>
      <c r="AR152" s="113">
        <f t="shared" si="212"/>
        <v>847.2</v>
      </c>
      <c r="AS152" s="1">
        <f t="shared" si="213"/>
        <v>975.4</v>
      </c>
      <c r="AT152" s="1">
        <f t="shared" si="214"/>
        <v>975.4</v>
      </c>
      <c r="AU152" s="2">
        <f t="shared" si="231"/>
        <v>0</v>
      </c>
      <c r="AV152" s="82">
        <f>IF(ISNA(VLOOKUP($CZ152,'Audit Values'!$A$2:$AC$360,2,FALSE)),"",IF(AND(Weightings!H152&gt;0,VLOOKUP($CZ152,'Audit Values'!$A$2:$AC$360,29,FALSE)&lt;Weightings!H152),Weightings!H152,VLOOKUP($CZ152,'Audit Values'!$A$2:$AC$360,29,FALSE)))</f>
        <v>13</v>
      </c>
      <c r="AW152" s="82" t="str">
        <f>IF(ISNA(VLOOKUP($CZ152,'Audit Values'!$A$2:$AD$360,2,FALSE)),"",VLOOKUP($CZ152,'Audit Values'!$A$2:$AD$360,30,FALSE))</f>
        <v>A</v>
      </c>
      <c r="AX152" s="82" t="str">
        <f>IF(Weightings!G152="","",IF(Weightings!I152="Pending","PX","R"))</f>
        <v/>
      </c>
      <c r="AY152" s="114">
        <f>AR152*Weightings!$M$5+AU152</f>
        <v>3251554</v>
      </c>
      <c r="AZ152" s="2">
        <f>AT152*Weightings!$M$5+AU152</f>
        <v>3743585</v>
      </c>
      <c r="BA152" s="2">
        <f>IF(Weightings!G152&gt;0,Weightings!G152,'Preliminary SO66'!AB149)</f>
        <v>3975784</v>
      </c>
      <c r="BB152" s="2">
        <f t="shared" si="215"/>
        <v>3743585</v>
      </c>
      <c r="BC152" s="124"/>
      <c r="BD152" s="124">
        <f>Weightings!E152</f>
        <v>0</v>
      </c>
      <c r="BE152" s="124">
        <f>Weightings!F152</f>
        <v>0</v>
      </c>
      <c r="BF152" s="2">
        <f t="shared" si="216"/>
        <v>0</v>
      </c>
      <c r="BG152" s="2">
        <f t="shared" si="217"/>
        <v>3743585</v>
      </c>
      <c r="BH152" s="2">
        <f>MAX(ROUND(((AR152-AO152)*4433)+AP152,0),ROUND(((AR152-AO152)*4433)+Weightings!B152,0))</f>
        <v>4266920</v>
      </c>
      <c r="BI152" s="174">
        <v>0.3</v>
      </c>
      <c r="BJ152" s="2">
        <f t="shared" si="191"/>
        <v>1280076</v>
      </c>
      <c r="BK152" s="173">
        <v>1200000</v>
      </c>
      <c r="BL152" s="2">
        <f t="shared" si="194"/>
        <v>1200000</v>
      </c>
      <c r="BM152" s="3">
        <f t="shared" si="232"/>
        <v>0.28120000000000001</v>
      </c>
      <c r="BN152" s="1">
        <f t="shared" si="218"/>
        <v>0</v>
      </c>
      <c r="BO152" s="4" t="b">
        <f t="shared" si="219"/>
        <v>0</v>
      </c>
      <c r="BP152" s="5">
        <f t="shared" si="220"/>
        <v>0</v>
      </c>
      <c r="BQ152" s="6">
        <f t="shared" si="195"/>
        <v>0</v>
      </c>
      <c r="BR152" s="4">
        <f t="shared" si="221"/>
        <v>0</v>
      </c>
      <c r="BS152" s="4" t="b">
        <f t="shared" si="222"/>
        <v>1</v>
      </c>
      <c r="BT152" s="4">
        <f t="shared" si="223"/>
        <v>265.69130000000001</v>
      </c>
      <c r="BU152" s="6">
        <f t="shared" si="196"/>
        <v>0.411242</v>
      </c>
      <c r="BV152" s="1">
        <f t="shared" si="224"/>
        <v>211.7</v>
      </c>
      <c r="BW152" s="1">
        <f t="shared" si="225"/>
        <v>0</v>
      </c>
      <c r="BX152" s="116">
        <v>158.19999999999999</v>
      </c>
      <c r="BY152" s="7">
        <f t="shared" si="233"/>
        <v>0.99</v>
      </c>
      <c r="BZ152" s="7">
        <f>IF(ROUND((Weightings!$P$5*BY152^Weightings!$P$6*Weightings!$P$8 ),2)&lt;Weightings!$P$7,Weightings!$P$7,ROUND((Weightings!$P$5*BY152^Weightings!$P$6*Weightings!$P$8 ),2))</f>
        <v>1004.55</v>
      </c>
      <c r="CA152" s="8">
        <f>ROUND(BZ152/Weightings!$M$5,4)</f>
        <v>0.26169999999999999</v>
      </c>
      <c r="CB152" s="1">
        <f t="shared" si="234"/>
        <v>40.799999999999997</v>
      </c>
      <c r="CC152" s="173">
        <v>0</v>
      </c>
      <c r="CD152" s="173">
        <v>0</v>
      </c>
      <c r="CE152" s="173">
        <v>0</v>
      </c>
      <c r="CF152" s="177">
        <v>0</v>
      </c>
      <c r="CG152" s="2">
        <f>AS152*Weightings!$M$5*CF152</f>
        <v>0</v>
      </c>
      <c r="CH152" s="2">
        <f t="shared" si="198"/>
        <v>0</v>
      </c>
      <c r="CI152" s="117">
        <f t="shared" si="226"/>
        <v>0.28599999999999998</v>
      </c>
      <c r="CJ152" s="4">
        <f t="shared" si="227"/>
        <v>3.3</v>
      </c>
      <c r="CK152" s="1">
        <f t="shared" si="235"/>
        <v>0</v>
      </c>
      <c r="CL152" s="1">
        <f t="shared" si="236"/>
        <v>0</v>
      </c>
      <c r="CM152" s="1">
        <f t="shared" si="237"/>
        <v>0</v>
      </c>
      <c r="CN152" s="1">
        <f>IF(ISNA(VLOOKUP($CZ152,'Audit Values'!$A$2:$AE$439,2,FALSE)),'Preliminary SO66'!T149,VLOOKUP($CZ152,'Audit Values'!$A$2:$AE$439,20,FALSE))</f>
        <v>0</v>
      </c>
      <c r="CO152" s="1">
        <f t="shared" si="228"/>
        <v>0</v>
      </c>
      <c r="CP152" s="183">
        <v>0</v>
      </c>
      <c r="CQ152" s="1">
        <f t="shared" si="229"/>
        <v>0</v>
      </c>
      <c r="CR152" s="2">
        <f>IF(ISNA(VLOOKUP($CZ152,'Audit Values'!$A$2:$AE$439,2,FALSE)),'Preliminary SO66'!V149,VLOOKUP($CZ152,'Audit Values'!$A$2:$AE$439,22,FALSE))</f>
        <v>0</v>
      </c>
      <c r="CS152" s="1">
        <f t="shared" si="230"/>
        <v>0</v>
      </c>
      <c r="CT152" s="2">
        <f>IF(ISNA(VLOOKUP($CZ152,'Audit Values'!$A$2:$AE$439,2,FALSE)),'Preliminary SO66'!W149,VLOOKUP($CZ152,'Audit Values'!$A$2:$AE$439,23,FALSE))</f>
        <v>0</v>
      </c>
      <c r="CU152" s="1">
        <f t="shared" si="241"/>
        <v>0</v>
      </c>
      <c r="CV152" s="1">
        <f t="shared" si="242"/>
        <v>0</v>
      </c>
      <c r="CW152" s="176">
        <v>0</v>
      </c>
      <c r="CX152" s="2">
        <f>IF(CW152&gt;0,Weightings!$M$11*AR152,0)</f>
        <v>0</v>
      </c>
      <c r="CY152" s="2">
        <f t="shared" si="238"/>
        <v>0</v>
      </c>
      <c r="CZ152" s="108" t="s">
        <v>444</v>
      </c>
    </row>
    <row r="153" spans="1:104">
      <c r="A153" s="82">
        <v>357</v>
      </c>
      <c r="B153" s="4" t="s">
        <v>68</v>
      </c>
      <c r="C153" s="4" t="s">
        <v>780</v>
      </c>
      <c r="D153" s="1">
        <v>591.5</v>
      </c>
      <c r="E153" s="1">
        <v>0</v>
      </c>
      <c r="F153" s="1">
        <f t="shared" si="240"/>
        <v>591.5</v>
      </c>
      <c r="G153" s="1">
        <v>601.5</v>
      </c>
      <c r="H153" s="1">
        <v>0</v>
      </c>
      <c r="I153" s="1">
        <f t="shared" si="201"/>
        <v>601.5</v>
      </c>
      <c r="J153" s="1">
        <f t="shared" si="202"/>
        <v>582.5</v>
      </c>
      <c r="K153" s="1">
        <f>IF(ISNA(VLOOKUP($CZ153,'Audit Values'!$A$2:$AE$439,2,FALSE)),'Preliminary SO66'!B150,VLOOKUP($CZ153,'Audit Values'!$A$2:$AE$439,31,FALSE))</f>
        <v>582.5</v>
      </c>
      <c r="L153" s="1">
        <f t="shared" si="203"/>
        <v>601.5</v>
      </c>
      <c r="M153" s="1">
        <f>IF(ISNA(VLOOKUP($CZ153,'Audit Values'!$A$2:$AE$439,2,FALSE)),'Preliminary SO66'!Z150,VLOOKUP($CZ153,'Audit Values'!$A$2:$AE$439,26,FALSE))</f>
        <v>0</v>
      </c>
      <c r="N153" s="1">
        <f t="shared" si="204"/>
        <v>601.5</v>
      </c>
      <c r="O153" s="1">
        <f>IF(ISNA(VLOOKUP($CZ153,'Audit Values'!$A$2:$AE$439,2,FALSE)),'Preliminary SO66'!C150,IF(VLOOKUP($CZ153,'Audit Values'!$A$2:$AE$439,28,FALSE)="",VLOOKUP($CZ153,'Audit Values'!$A$2:$AE$439,3,FALSE),VLOOKUP($CZ153,'Audit Values'!$A$2:$AE$439,28,FALSE)))</f>
        <v>11</v>
      </c>
      <c r="P153" s="109">
        <f t="shared" si="205"/>
        <v>593.5</v>
      </c>
      <c r="Q153" s="110">
        <f t="shared" si="206"/>
        <v>593.5</v>
      </c>
      <c r="R153" s="111">
        <f t="shared" si="207"/>
        <v>593.5</v>
      </c>
      <c r="S153" s="1">
        <f t="shared" si="208"/>
        <v>612.5</v>
      </c>
      <c r="T153" s="1">
        <f t="shared" si="239"/>
        <v>0</v>
      </c>
      <c r="U153" s="1">
        <f t="shared" si="209"/>
        <v>231.5</v>
      </c>
      <c r="V153" s="1">
        <f t="shared" si="199"/>
        <v>231.5</v>
      </c>
      <c r="W153" s="1">
        <f t="shared" si="200"/>
        <v>0</v>
      </c>
      <c r="X153" s="1">
        <f>IF(ISNA(VLOOKUP($CZ153,'Audit Values'!$A$2:$AE$439,2,FALSE)),'Preliminary SO66'!D150,VLOOKUP($CZ153,'Audit Values'!$A$2:$AE$439,4,FALSE))</f>
        <v>108.4</v>
      </c>
      <c r="Y153" s="1">
        <f>ROUND((X153/6)*Weightings!$M$6,1)</f>
        <v>9</v>
      </c>
      <c r="Z153" s="1">
        <f>IF(ISNA(VLOOKUP($CZ153,'Audit Values'!$A$2:$AE$439,2,FALSE)),'Preliminary SO66'!F150,VLOOKUP($CZ153,'Audit Values'!$A$2:$AE$439,6,FALSE))</f>
        <v>0</v>
      </c>
      <c r="AA153" s="1">
        <f>ROUND((Z153/6)*Weightings!$M$7,1)</f>
        <v>0</v>
      </c>
      <c r="AB153" s="2">
        <f>IF(ISNA(VLOOKUP($CZ153,'Audit Values'!$A$2:$AE$439,2,FALSE)),'Preliminary SO66'!H150,VLOOKUP($CZ153,'Audit Values'!$A$2:$AE$439,8,FALSE))</f>
        <v>213</v>
      </c>
      <c r="AC153" s="1">
        <f>ROUND(AB153*Weightings!$M$8,1)</f>
        <v>97.1</v>
      </c>
      <c r="AD153" s="1">
        <f t="shared" si="197"/>
        <v>0</v>
      </c>
      <c r="AE153" s="185">
        <v>39</v>
      </c>
      <c r="AF153" s="1">
        <f>AE153*Weightings!$M$9</f>
        <v>1.8</v>
      </c>
      <c r="AG153" s="1">
        <f>IF(ISNA(VLOOKUP($CZ153,'Audit Values'!$A$2:$AE$439,2,FALSE)),'Preliminary SO66'!L150,VLOOKUP($CZ153,'Audit Values'!$A$2:$AE$439,12,FALSE))</f>
        <v>0</v>
      </c>
      <c r="AH153" s="1">
        <f>ROUND(AG153*Weightings!$M$10,1)</f>
        <v>0</v>
      </c>
      <c r="AI153" s="1">
        <f>IF(ISNA(VLOOKUP($CZ153,'Audit Values'!$A$2:$AE$439,2,FALSE)),'Preliminary SO66'!O150,VLOOKUP($CZ153,'Audit Values'!$A$2:$AE$439,15,FALSE))</f>
        <v>191</v>
      </c>
      <c r="AJ153" s="1">
        <f t="shared" si="210"/>
        <v>41.4</v>
      </c>
      <c r="AK153" s="1">
        <f>CC153/Weightings!$M$5</f>
        <v>0</v>
      </c>
      <c r="AL153" s="1">
        <f>CD153/Weightings!$M$5</f>
        <v>0</v>
      </c>
      <c r="AM153" s="1">
        <f>CH153/Weightings!$M$5</f>
        <v>0</v>
      </c>
      <c r="AN153" s="1">
        <f t="shared" si="211"/>
        <v>0</v>
      </c>
      <c r="AO153" s="1">
        <f>IF(ISNA(VLOOKUP($CZ153,'Audit Values'!$A$2:$AE$439,2,FALSE)),'Preliminary SO66'!X150,VLOOKUP($CZ153,'Audit Values'!$A$2:$AE$439,24,FALSE))</f>
        <v>0</v>
      </c>
      <c r="AP153" s="188">
        <v>862465</v>
      </c>
      <c r="AQ153" s="113">
        <f>AP153/Weightings!$M$5</f>
        <v>224.7</v>
      </c>
      <c r="AR153" s="113">
        <f t="shared" si="212"/>
        <v>993.3</v>
      </c>
      <c r="AS153" s="1">
        <f t="shared" si="213"/>
        <v>1218</v>
      </c>
      <c r="AT153" s="1">
        <f t="shared" si="214"/>
        <v>1218</v>
      </c>
      <c r="AU153" s="2">
        <f t="shared" si="231"/>
        <v>0</v>
      </c>
      <c r="AV153" s="82">
        <f>IF(ISNA(VLOOKUP($CZ153,'Audit Values'!$A$2:$AC$360,2,FALSE)),"",IF(AND(Weightings!H153&gt;0,VLOOKUP($CZ153,'Audit Values'!$A$2:$AC$360,29,FALSE)&lt;Weightings!H153),Weightings!H153,VLOOKUP($CZ153,'Audit Values'!$A$2:$AC$360,29,FALSE)))</f>
        <v>3</v>
      </c>
      <c r="AW153" s="82" t="str">
        <f>IF(ISNA(VLOOKUP($CZ153,'Audit Values'!$A$2:$AD$360,2,FALSE)),"",VLOOKUP($CZ153,'Audit Values'!$A$2:$AD$360,30,FALSE))</f>
        <v>A</v>
      </c>
      <c r="AX153" s="82" t="str">
        <f>IF(Weightings!G153="","",IF(Weightings!I153="Pending","PX","R"))</f>
        <v/>
      </c>
      <c r="AY153" s="114">
        <f>AR153*Weightings!$M$5+AU153</f>
        <v>3812285</v>
      </c>
      <c r="AZ153" s="2">
        <f>AT153*Weightings!$M$5+AU153</f>
        <v>4674684</v>
      </c>
      <c r="BA153" s="2">
        <f>IF(Weightings!G153&gt;0,Weightings!G153,'Preliminary SO66'!AB150)</f>
        <v>4971745</v>
      </c>
      <c r="BB153" s="2">
        <f t="shared" si="215"/>
        <v>4674684</v>
      </c>
      <c r="BC153" s="124"/>
      <c r="BD153" s="124">
        <f>Weightings!E153</f>
        <v>0</v>
      </c>
      <c r="BE153" s="124">
        <f>Weightings!F153</f>
        <v>0</v>
      </c>
      <c r="BF153" s="2">
        <f t="shared" si="216"/>
        <v>0</v>
      </c>
      <c r="BG153" s="2">
        <f t="shared" si="217"/>
        <v>4674684</v>
      </c>
      <c r="BH153" s="2">
        <f>MAX(ROUND(((AR153-AO153)*4433)+AP153,0),ROUND(((AR153-AO153)*4433)+Weightings!B153,0))</f>
        <v>5348952</v>
      </c>
      <c r="BI153" s="174">
        <v>0.3</v>
      </c>
      <c r="BJ153" s="2">
        <f t="shared" si="191"/>
        <v>1604686</v>
      </c>
      <c r="BK153" s="173">
        <v>1678602</v>
      </c>
      <c r="BL153" s="2">
        <f t="shared" si="194"/>
        <v>1604686</v>
      </c>
      <c r="BM153" s="3">
        <f t="shared" si="232"/>
        <v>0.3</v>
      </c>
      <c r="BN153" s="1">
        <f t="shared" si="218"/>
        <v>0</v>
      </c>
      <c r="BO153" s="4" t="b">
        <f t="shared" si="219"/>
        <v>0</v>
      </c>
      <c r="BP153" s="5">
        <f t="shared" si="220"/>
        <v>0</v>
      </c>
      <c r="BQ153" s="6">
        <f t="shared" si="195"/>
        <v>0</v>
      </c>
      <c r="BR153" s="4">
        <f t="shared" si="221"/>
        <v>0</v>
      </c>
      <c r="BS153" s="4" t="b">
        <f t="shared" si="222"/>
        <v>1</v>
      </c>
      <c r="BT153" s="4">
        <f t="shared" si="223"/>
        <v>386.71879999999999</v>
      </c>
      <c r="BU153" s="6">
        <f t="shared" si="196"/>
        <v>0.37801499999999999</v>
      </c>
      <c r="BV153" s="1">
        <f t="shared" si="224"/>
        <v>231.5</v>
      </c>
      <c r="BW153" s="1">
        <f t="shared" si="225"/>
        <v>0</v>
      </c>
      <c r="BX153" s="116">
        <v>84</v>
      </c>
      <c r="BY153" s="7">
        <f t="shared" si="233"/>
        <v>2.27</v>
      </c>
      <c r="BZ153" s="7">
        <f>IF(ROUND((Weightings!$P$5*BY153^Weightings!$P$6*Weightings!$P$8 ),2)&lt;Weightings!$P$7,Weightings!$P$7,ROUND((Weightings!$P$5*BY153^Weightings!$P$6*Weightings!$P$8 ),2))</f>
        <v>831.31</v>
      </c>
      <c r="CA153" s="8">
        <f>ROUND(BZ153/Weightings!$M$5,4)</f>
        <v>0.21659999999999999</v>
      </c>
      <c r="CB153" s="1">
        <f t="shared" si="234"/>
        <v>41.4</v>
      </c>
      <c r="CC153" s="173">
        <v>0</v>
      </c>
      <c r="CD153" s="173">
        <v>0</v>
      </c>
      <c r="CE153" s="173">
        <v>0</v>
      </c>
      <c r="CF153" s="177">
        <v>0</v>
      </c>
      <c r="CG153" s="2">
        <f>AS153*Weightings!$M$5*CF153</f>
        <v>0</v>
      </c>
      <c r="CH153" s="2">
        <f t="shared" si="198"/>
        <v>0</v>
      </c>
      <c r="CI153" s="117">
        <f t="shared" si="226"/>
        <v>0.34799999999999998</v>
      </c>
      <c r="CJ153" s="4">
        <f t="shared" si="227"/>
        <v>7.3</v>
      </c>
      <c r="CK153" s="1">
        <f t="shared" si="235"/>
        <v>0</v>
      </c>
      <c r="CL153" s="1">
        <f t="shared" si="236"/>
        <v>0</v>
      </c>
      <c r="CM153" s="1">
        <f t="shared" si="237"/>
        <v>0</v>
      </c>
      <c r="CN153" s="1">
        <f>IF(ISNA(VLOOKUP($CZ153,'Audit Values'!$A$2:$AE$439,2,FALSE)),'Preliminary SO66'!T150,VLOOKUP($CZ153,'Audit Values'!$A$2:$AE$439,20,FALSE))</f>
        <v>0</v>
      </c>
      <c r="CO153" s="1">
        <f t="shared" si="228"/>
        <v>0</v>
      </c>
      <c r="CP153" s="183">
        <v>0</v>
      </c>
      <c r="CQ153" s="1">
        <f t="shared" si="229"/>
        <v>0</v>
      </c>
      <c r="CR153" s="2">
        <f>IF(ISNA(VLOOKUP($CZ153,'Audit Values'!$A$2:$AE$439,2,FALSE)),'Preliminary SO66'!V150,VLOOKUP($CZ153,'Audit Values'!$A$2:$AE$439,22,FALSE))</f>
        <v>0</v>
      </c>
      <c r="CS153" s="1">
        <f t="shared" si="230"/>
        <v>0</v>
      </c>
      <c r="CT153" s="2">
        <f>IF(ISNA(VLOOKUP($CZ153,'Audit Values'!$A$2:$AE$439,2,FALSE)),'Preliminary SO66'!W150,VLOOKUP($CZ153,'Audit Values'!$A$2:$AE$439,23,FALSE))</f>
        <v>0</v>
      </c>
      <c r="CU153" s="1">
        <f t="shared" si="241"/>
        <v>0</v>
      </c>
      <c r="CV153" s="1">
        <f t="shared" si="242"/>
        <v>0</v>
      </c>
      <c r="CW153" s="176">
        <v>0</v>
      </c>
      <c r="CX153" s="2">
        <f>IF(CW153&gt;0,Weightings!$M$11*AR153,0)</f>
        <v>0</v>
      </c>
      <c r="CY153" s="2">
        <f t="shared" si="238"/>
        <v>0</v>
      </c>
      <c r="CZ153" s="108" t="s">
        <v>445</v>
      </c>
    </row>
    <row r="154" spans="1:104">
      <c r="A154" s="82">
        <v>358</v>
      </c>
      <c r="B154" s="4" t="s">
        <v>68</v>
      </c>
      <c r="C154" s="4" t="s">
        <v>781</v>
      </c>
      <c r="D154" s="1">
        <v>313.3</v>
      </c>
      <c r="E154" s="1">
        <v>0</v>
      </c>
      <c r="F154" s="1">
        <f t="shared" si="240"/>
        <v>313.3</v>
      </c>
      <c r="G154" s="1">
        <v>346.9</v>
      </c>
      <c r="H154" s="1">
        <v>0</v>
      </c>
      <c r="I154" s="1">
        <f t="shared" si="201"/>
        <v>346.9</v>
      </c>
      <c r="J154" s="1">
        <f t="shared" si="202"/>
        <v>333.2</v>
      </c>
      <c r="K154" s="1">
        <f>IF(ISNA(VLOOKUP($CZ154,'Audit Values'!$A$2:$AE$439,2,FALSE)),'Preliminary SO66'!B151,VLOOKUP($CZ154,'Audit Values'!$A$2:$AE$439,31,FALSE))</f>
        <v>315.2</v>
      </c>
      <c r="L154" s="1">
        <f t="shared" si="203"/>
        <v>346.9</v>
      </c>
      <c r="M154" s="1">
        <f>IF(ISNA(VLOOKUP($CZ154,'Audit Values'!$A$2:$AE$439,2,FALSE)),'Preliminary SO66'!Z151,VLOOKUP($CZ154,'Audit Values'!$A$2:$AE$439,26,FALSE))</f>
        <v>0</v>
      </c>
      <c r="N154" s="1">
        <f t="shared" si="204"/>
        <v>346.9</v>
      </c>
      <c r="O154" s="1">
        <f>IF(ISNA(VLOOKUP($CZ154,'Audit Values'!$A$2:$AE$439,2,FALSE)),'Preliminary SO66'!C151,IF(VLOOKUP($CZ154,'Audit Values'!$A$2:$AE$439,28,FALSE)="",VLOOKUP($CZ154,'Audit Values'!$A$2:$AE$439,3,FALSE),VLOOKUP($CZ154,'Audit Values'!$A$2:$AE$439,28,FALSE)))</f>
        <v>2</v>
      </c>
      <c r="P154" s="109">
        <f t="shared" si="205"/>
        <v>317.2</v>
      </c>
      <c r="Q154" s="110">
        <f t="shared" si="206"/>
        <v>335.2</v>
      </c>
      <c r="R154" s="111">
        <f t="shared" si="207"/>
        <v>335.2</v>
      </c>
      <c r="S154" s="1">
        <f t="shared" si="208"/>
        <v>348.9</v>
      </c>
      <c r="T154" s="1">
        <f t="shared" si="239"/>
        <v>18</v>
      </c>
      <c r="U154" s="1">
        <f t="shared" si="209"/>
        <v>163.1</v>
      </c>
      <c r="V154" s="1">
        <f t="shared" si="199"/>
        <v>163.1</v>
      </c>
      <c r="W154" s="1">
        <f t="shared" si="200"/>
        <v>0</v>
      </c>
      <c r="X154" s="1">
        <f>IF(ISNA(VLOOKUP($CZ154,'Audit Values'!$A$2:$AE$439,2,FALSE)),'Preliminary SO66'!D151,VLOOKUP($CZ154,'Audit Values'!$A$2:$AE$439,4,FALSE))</f>
        <v>81.900000000000006</v>
      </c>
      <c r="Y154" s="1">
        <f>ROUND((X154/6)*Weightings!$M$6,1)</f>
        <v>6.8</v>
      </c>
      <c r="Z154" s="1">
        <f>IF(ISNA(VLOOKUP($CZ154,'Audit Values'!$A$2:$AE$439,2,FALSE)),'Preliminary SO66'!F151,VLOOKUP($CZ154,'Audit Values'!$A$2:$AE$439,6,FALSE))</f>
        <v>0</v>
      </c>
      <c r="AA154" s="1">
        <f>ROUND((Z154/6)*Weightings!$M$7,1)</f>
        <v>0</v>
      </c>
      <c r="AB154" s="2">
        <f>IF(ISNA(VLOOKUP($CZ154,'Audit Values'!$A$2:$AE$439,2,FALSE)),'Preliminary SO66'!H151,VLOOKUP($CZ154,'Audit Values'!$A$2:$AE$439,8,FALSE))</f>
        <v>128</v>
      </c>
      <c r="AC154" s="1">
        <f>ROUND(AB154*Weightings!$M$8,1)</f>
        <v>58.4</v>
      </c>
      <c r="AD154" s="1">
        <f t="shared" si="197"/>
        <v>1.5</v>
      </c>
      <c r="AE154" s="185">
        <v>30</v>
      </c>
      <c r="AF154" s="1">
        <f>AE154*Weightings!$M$9</f>
        <v>1.4</v>
      </c>
      <c r="AG154" s="1">
        <f>IF(ISNA(VLOOKUP($CZ154,'Audit Values'!$A$2:$AE$439,2,FALSE)),'Preliminary SO66'!L151,VLOOKUP($CZ154,'Audit Values'!$A$2:$AE$439,12,FALSE))</f>
        <v>0</v>
      </c>
      <c r="AH154" s="1">
        <f>ROUND(AG154*Weightings!$M$10,1)</f>
        <v>0</v>
      </c>
      <c r="AI154" s="1">
        <f>IF(ISNA(VLOOKUP($CZ154,'Audit Values'!$A$2:$AE$439,2,FALSE)),'Preliminary SO66'!O151,VLOOKUP($CZ154,'Audit Values'!$A$2:$AE$439,15,FALSE))</f>
        <v>96</v>
      </c>
      <c r="AJ154" s="1">
        <f t="shared" si="210"/>
        <v>27.1</v>
      </c>
      <c r="AK154" s="1">
        <f>CC154/Weightings!$M$5</f>
        <v>0</v>
      </c>
      <c r="AL154" s="1">
        <f>CD154/Weightings!$M$5</f>
        <v>0</v>
      </c>
      <c r="AM154" s="1">
        <f>CH154/Weightings!$M$5</f>
        <v>0</v>
      </c>
      <c r="AN154" s="1">
        <f t="shared" si="211"/>
        <v>18.899999999999999</v>
      </c>
      <c r="AO154" s="1">
        <f>IF(ISNA(VLOOKUP($CZ154,'Audit Values'!$A$2:$AE$439,2,FALSE)),'Preliminary SO66'!X151,VLOOKUP($CZ154,'Audit Values'!$A$2:$AE$439,24,FALSE))</f>
        <v>0</v>
      </c>
      <c r="AP154" s="188">
        <v>494005</v>
      </c>
      <c r="AQ154" s="113">
        <f>AP154/Weightings!$M$5</f>
        <v>128.69999999999999</v>
      </c>
      <c r="AR154" s="113">
        <f t="shared" si="212"/>
        <v>626.1</v>
      </c>
      <c r="AS154" s="1">
        <f t="shared" si="213"/>
        <v>754.8</v>
      </c>
      <c r="AT154" s="1">
        <f t="shared" si="214"/>
        <v>754.8</v>
      </c>
      <c r="AU154" s="2">
        <f t="shared" si="231"/>
        <v>0</v>
      </c>
      <c r="AV154" s="82">
        <f>IF(ISNA(VLOOKUP($CZ154,'Audit Values'!$A$2:$AC$360,2,FALSE)),"",IF(AND(Weightings!H154&gt;0,VLOOKUP($CZ154,'Audit Values'!$A$2:$AC$360,29,FALSE)&lt;Weightings!H154),Weightings!H154,VLOOKUP($CZ154,'Audit Values'!$A$2:$AC$360,29,FALSE)))</f>
        <v>3</v>
      </c>
      <c r="AW154" s="82" t="str">
        <f>IF(ISNA(VLOOKUP($CZ154,'Audit Values'!$A$2:$AD$360,2,FALSE)),"",VLOOKUP($CZ154,'Audit Values'!$A$2:$AD$360,30,FALSE))</f>
        <v>A</v>
      </c>
      <c r="AX154" s="82" t="str">
        <f>IF(Weightings!G154="","",IF(Weightings!I154="Pending","PX","R"))</f>
        <v/>
      </c>
      <c r="AY154" s="114">
        <f>AR154*Weightings!$M$5+AU154</f>
        <v>2402972</v>
      </c>
      <c r="AZ154" s="2">
        <f>AT154*Weightings!$M$5+AU154</f>
        <v>2896922</v>
      </c>
      <c r="BA154" s="2">
        <f>IF(Weightings!G154&gt;0,Weightings!G154,'Preliminary SO66'!AB151)</f>
        <v>3103791</v>
      </c>
      <c r="BB154" s="2">
        <f t="shared" si="215"/>
        <v>2896922</v>
      </c>
      <c r="BC154" s="124"/>
      <c r="BD154" s="124">
        <f>Weightings!E154</f>
        <v>0</v>
      </c>
      <c r="BE154" s="124">
        <f>Weightings!F154</f>
        <v>0</v>
      </c>
      <c r="BF154" s="2">
        <f t="shared" si="216"/>
        <v>0</v>
      </c>
      <c r="BG154" s="2">
        <f t="shared" si="217"/>
        <v>2896922</v>
      </c>
      <c r="BH154" s="2">
        <f>MAX(ROUND(((AR154-AO154)*4433)+AP154,0),ROUND(((AR154-AO154)*4433)+Weightings!B154,0))</f>
        <v>3269506</v>
      </c>
      <c r="BI154" s="174">
        <v>0.3</v>
      </c>
      <c r="BJ154" s="2">
        <f t="shared" si="191"/>
        <v>980852</v>
      </c>
      <c r="BK154" s="173">
        <v>1000000</v>
      </c>
      <c r="BL154" s="2">
        <f t="shared" si="194"/>
        <v>980852</v>
      </c>
      <c r="BM154" s="3">
        <f t="shared" si="232"/>
        <v>0.3</v>
      </c>
      <c r="BN154" s="1">
        <f t="shared" si="218"/>
        <v>0</v>
      </c>
      <c r="BO154" s="4" t="b">
        <f t="shared" si="219"/>
        <v>0</v>
      </c>
      <c r="BP154" s="5">
        <f t="shared" si="220"/>
        <v>0</v>
      </c>
      <c r="BQ154" s="6">
        <f t="shared" si="195"/>
        <v>0</v>
      </c>
      <c r="BR154" s="4">
        <f t="shared" si="221"/>
        <v>0</v>
      </c>
      <c r="BS154" s="4" t="b">
        <f t="shared" si="222"/>
        <v>1</v>
      </c>
      <c r="BT154" s="4">
        <f t="shared" si="223"/>
        <v>60.513800000000003</v>
      </c>
      <c r="BU154" s="6">
        <f t="shared" si="196"/>
        <v>0.46757300000000002</v>
      </c>
      <c r="BV154" s="1">
        <f t="shared" si="224"/>
        <v>163.1</v>
      </c>
      <c r="BW154" s="1">
        <f t="shared" si="225"/>
        <v>0</v>
      </c>
      <c r="BX154" s="116">
        <v>136</v>
      </c>
      <c r="BY154" s="7">
        <f t="shared" si="233"/>
        <v>0.71</v>
      </c>
      <c r="BZ154" s="7">
        <f>IF(ROUND((Weightings!$P$5*BY154^Weightings!$P$6*Weightings!$P$8 ),2)&lt;Weightings!$P$7,Weightings!$P$7,ROUND((Weightings!$P$5*BY154^Weightings!$P$6*Weightings!$P$8 ),2))</f>
        <v>1083.68</v>
      </c>
      <c r="CA154" s="8">
        <f>ROUND(BZ154/Weightings!$M$5,4)</f>
        <v>0.28239999999999998</v>
      </c>
      <c r="CB154" s="1">
        <f t="shared" si="234"/>
        <v>27.1</v>
      </c>
      <c r="CC154" s="173">
        <v>0</v>
      </c>
      <c r="CD154" s="173">
        <v>0</v>
      </c>
      <c r="CE154" s="173">
        <v>0</v>
      </c>
      <c r="CF154" s="177">
        <v>0</v>
      </c>
      <c r="CG154" s="2">
        <f>AS154*Weightings!$M$5*CF154</f>
        <v>0</v>
      </c>
      <c r="CH154" s="2">
        <f t="shared" si="198"/>
        <v>0</v>
      </c>
      <c r="CI154" s="117">
        <f t="shared" si="226"/>
        <v>0.36699999999999999</v>
      </c>
      <c r="CJ154" s="4">
        <f t="shared" si="227"/>
        <v>2.6</v>
      </c>
      <c r="CK154" s="1">
        <f t="shared" si="235"/>
        <v>0</v>
      </c>
      <c r="CL154" s="1">
        <f t="shared" si="236"/>
        <v>0</v>
      </c>
      <c r="CM154" s="1">
        <f t="shared" si="237"/>
        <v>1.5</v>
      </c>
      <c r="CN154" s="1">
        <f>IF(ISNA(VLOOKUP($CZ154,'Audit Values'!$A$2:$AE$439,2,FALSE)),'Preliminary SO66'!T151,VLOOKUP($CZ154,'Audit Values'!$A$2:$AE$439,20,FALSE))</f>
        <v>18</v>
      </c>
      <c r="CO154" s="1">
        <f t="shared" si="228"/>
        <v>18.899999999999999</v>
      </c>
      <c r="CP154" s="181">
        <v>0</v>
      </c>
      <c r="CQ154" s="1">
        <f t="shared" si="229"/>
        <v>0</v>
      </c>
      <c r="CR154" s="2">
        <f>IF(ISNA(VLOOKUP($CZ154,'Audit Values'!$A$2:$AE$439,2,FALSE)),'Preliminary SO66'!V151,VLOOKUP($CZ154,'Audit Values'!$A$2:$AE$439,22,FALSE))</f>
        <v>0</v>
      </c>
      <c r="CS154" s="1">
        <f t="shared" si="230"/>
        <v>0</v>
      </c>
      <c r="CT154" s="2">
        <f>IF(ISNA(VLOOKUP($CZ154,'Audit Values'!$A$2:$AE$439,2,FALSE)),'Preliminary SO66'!W151,VLOOKUP($CZ154,'Audit Values'!$A$2:$AE$439,23,FALSE))</f>
        <v>0</v>
      </c>
      <c r="CU154" s="1">
        <f t="shared" si="241"/>
        <v>0</v>
      </c>
      <c r="CV154" s="1">
        <f t="shared" si="242"/>
        <v>18.899999999999999</v>
      </c>
      <c r="CW154" s="176">
        <v>0</v>
      </c>
      <c r="CX154" s="2">
        <f>IF(CW154&gt;0,Weightings!$M$11*AR154,0)</f>
        <v>0</v>
      </c>
      <c r="CY154" s="2">
        <f t="shared" si="238"/>
        <v>0</v>
      </c>
      <c r="CZ154" s="108" t="s">
        <v>446</v>
      </c>
    </row>
    <row r="155" spans="1:104">
      <c r="A155" s="82">
        <v>359</v>
      </c>
      <c r="B155" s="4" t="s">
        <v>68</v>
      </c>
      <c r="C155" s="4" t="s">
        <v>782</v>
      </c>
      <c r="D155" s="1">
        <v>168</v>
      </c>
      <c r="E155" s="1">
        <v>0</v>
      </c>
      <c r="F155" s="1">
        <f t="shared" si="240"/>
        <v>168</v>
      </c>
      <c r="G155" s="1">
        <v>161.5</v>
      </c>
      <c r="H155" s="1">
        <v>0</v>
      </c>
      <c r="I155" s="1">
        <f t="shared" si="201"/>
        <v>161.5</v>
      </c>
      <c r="J155" s="1">
        <f t="shared" si="202"/>
        <v>161</v>
      </c>
      <c r="K155" s="1">
        <f>IF(ISNA(VLOOKUP($CZ155,'Audit Values'!$A$2:$AE$439,2,FALSE)),'Preliminary SO66'!B152,VLOOKUP($CZ155,'Audit Values'!$A$2:$AE$439,31,FALSE))</f>
        <v>160</v>
      </c>
      <c r="L155" s="1">
        <f t="shared" si="203"/>
        <v>163.19999999999999</v>
      </c>
      <c r="M155" s="1">
        <f>IF(ISNA(VLOOKUP($CZ155,'Audit Values'!$A$2:$AE$439,2,FALSE)),'Preliminary SO66'!Z152,VLOOKUP($CZ155,'Audit Values'!$A$2:$AE$439,26,FALSE))</f>
        <v>0</v>
      </c>
      <c r="N155" s="1">
        <f t="shared" si="204"/>
        <v>163.19999999999999</v>
      </c>
      <c r="O155" s="1">
        <f>IF(ISNA(VLOOKUP($CZ155,'Audit Values'!$A$2:$AE$439,2,FALSE)),'Preliminary SO66'!C152,IF(VLOOKUP($CZ155,'Audit Values'!$A$2:$AE$439,28,FALSE)="",VLOOKUP($CZ155,'Audit Values'!$A$2:$AE$439,3,FALSE),VLOOKUP($CZ155,'Audit Values'!$A$2:$AE$439,28,FALSE)))</f>
        <v>1</v>
      </c>
      <c r="P155" s="109">
        <f t="shared" si="205"/>
        <v>161</v>
      </c>
      <c r="Q155" s="110">
        <f t="shared" si="206"/>
        <v>162</v>
      </c>
      <c r="R155" s="111">
        <f t="shared" si="207"/>
        <v>162</v>
      </c>
      <c r="S155" s="1">
        <f t="shared" si="208"/>
        <v>164.2</v>
      </c>
      <c r="T155" s="1">
        <f t="shared" si="239"/>
        <v>1</v>
      </c>
      <c r="U155" s="1">
        <f t="shared" si="209"/>
        <v>138.6</v>
      </c>
      <c r="V155" s="1">
        <f t="shared" si="199"/>
        <v>138.6</v>
      </c>
      <c r="W155" s="1">
        <f t="shared" si="200"/>
        <v>0</v>
      </c>
      <c r="X155" s="1">
        <f>IF(ISNA(VLOOKUP($CZ155,'Audit Values'!$A$2:$AE$439,2,FALSE)),'Preliminary SO66'!D152,VLOOKUP($CZ155,'Audit Values'!$A$2:$AE$439,4,FALSE))</f>
        <v>9.6</v>
      </c>
      <c r="Y155" s="1">
        <f>ROUND((X155/6)*Weightings!$M$6,1)</f>
        <v>0.8</v>
      </c>
      <c r="Z155" s="1">
        <f>IF(ISNA(VLOOKUP($CZ155,'Audit Values'!$A$2:$AE$439,2,FALSE)),'Preliminary SO66'!F152,VLOOKUP($CZ155,'Audit Values'!$A$2:$AE$439,6,FALSE))</f>
        <v>0</v>
      </c>
      <c r="AA155" s="1">
        <f>ROUND((Z155/6)*Weightings!$M$7,1)</f>
        <v>0</v>
      </c>
      <c r="AB155" s="2">
        <f>IF(ISNA(VLOOKUP($CZ155,'Audit Values'!$A$2:$AE$439,2,FALSE)),'Preliminary SO66'!H152,VLOOKUP($CZ155,'Audit Values'!$A$2:$AE$439,8,FALSE))</f>
        <v>58</v>
      </c>
      <c r="AC155" s="1">
        <f>ROUND(AB155*Weightings!$M$8,1)</f>
        <v>26.4</v>
      </c>
      <c r="AD155" s="1">
        <f t="shared" si="197"/>
        <v>0.1</v>
      </c>
      <c r="AE155" s="185">
        <v>4</v>
      </c>
      <c r="AF155" s="1">
        <f>AE155*Weightings!$M$9</f>
        <v>0.2</v>
      </c>
      <c r="AG155" s="1">
        <f>IF(ISNA(VLOOKUP($CZ155,'Audit Values'!$A$2:$AE$439,2,FALSE)),'Preliminary SO66'!L152,VLOOKUP($CZ155,'Audit Values'!$A$2:$AE$439,12,FALSE))</f>
        <v>0</v>
      </c>
      <c r="AH155" s="1">
        <f>ROUND(AG155*Weightings!$M$10,1)</f>
        <v>0</v>
      </c>
      <c r="AI155" s="1">
        <f>IF(ISNA(VLOOKUP($CZ155,'Audit Values'!$A$2:$AE$439,2,FALSE)),'Preliminary SO66'!O152,VLOOKUP($CZ155,'Audit Values'!$A$2:$AE$439,15,FALSE))</f>
        <v>56</v>
      </c>
      <c r="AJ155" s="1">
        <f t="shared" si="210"/>
        <v>19</v>
      </c>
      <c r="AK155" s="1">
        <f>CC155/Weightings!$M$5</f>
        <v>0</v>
      </c>
      <c r="AL155" s="1">
        <f>CD155/Weightings!$M$5</f>
        <v>0</v>
      </c>
      <c r="AM155" s="1">
        <f>CH155/Weightings!$M$5</f>
        <v>0</v>
      </c>
      <c r="AN155" s="1">
        <f t="shared" si="211"/>
        <v>1.1000000000000001</v>
      </c>
      <c r="AO155" s="1">
        <f>IF(ISNA(VLOOKUP($CZ155,'Audit Values'!$A$2:$AE$439,2,FALSE)),'Preliminary SO66'!X152,VLOOKUP($CZ155,'Audit Values'!$A$2:$AE$439,24,FALSE))</f>
        <v>0</v>
      </c>
      <c r="AP155" s="188">
        <v>223969</v>
      </c>
      <c r="AQ155" s="113">
        <f>AP155/Weightings!$M$5</f>
        <v>58.4</v>
      </c>
      <c r="AR155" s="113">
        <f t="shared" si="212"/>
        <v>350.4</v>
      </c>
      <c r="AS155" s="1">
        <f t="shared" si="213"/>
        <v>408.8</v>
      </c>
      <c r="AT155" s="1">
        <f t="shared" si="214"/>
        <v>408.8</v>
      </c>
      <c r="AU155" s="2">
        <f t="shared" si="231"/>
        <v>0</v>
      </c>
      <c r="AV155" s="82">
        <f>IF(ISNA(VLOOKUP($CZ155,'Audit Values'!$A$2:$AC$360,2,FALSE)),"",IF(AND(Weightings!H155&gt;0,VLOOKUP($CZ155,'Audit Values'!$A$2:$AC$360,29,FALSE)&lt;Weightings!H155),Weightings!H155,VLOOKUP($CZ155,'Audit Values'!$A$2:$AC$360,29,FALSE)))</f>
        <v>1</v>
      </c>
      <c r="AW155" s="82" t="str">
        <f>IF(ISNA(VLOOKUP($CZ155,'Audit Values'!$A$2:$AD$360,2,FALSE)),"",VLOOKUP($CZ155,'Audit Values'!$A$2:$AD$360,30,FALSE))</f>
        <v>A</v>
      </c>
      <c r="AX155" s="82" t="str">
        <f>IF(Weightings!G155="","",IF(Weightings!I155="Pending","PX","R"))</f>
        <v/>
      </c>
      <c r="AY155" s="114">
        <f>AR155*Weightings!$M$5+AU155</f>
        <v>1344835</v>
      </c>
      <c r="AZ155" s="2">
        <f>AT155*Weightings!$M$5+AU155</f>
        <v>1568974</v>
      </c>
      <c r="BA155" s="2">
        <f>IF(Weightings!G155&gt;0,Weightings!G155,'Preliminary SO66'!AB152)</f>
        <v>1603516</v>
      </c>
      <c r="BB155" s="2">
        <f t="shared" si="215"/>
        <v>1568974</v>
      </c>
      <c r="BC155" s="124"/>
      <c r="BD155" s="124">
        <f>Weightings!E155</f>
        <v>0</v>
      </c>
      <c r="BE155" s="124">
        <f>Weightings!F155</f>
        <v>0</v>
      </c>
      <c r="BF155" s="2">
        <f t="shared" si="216"/>
        <v>0</v>
      </c>
      <c r="BG155" s="2">
        <f t="shared" si="217"/>
        <v>1568974</v>
      </c>
      <c r="BH155" s="2">
        <f>MAX(ROUND(((AR155-AO155)*4433)+AP155,0),ROUND(((AR155-AO155)*4433)+Weightings!B155,0))</f>
        <v>1796090</v>
      </c>
      <c r="BI155" s="174">
        <v>0.3</v>
      </c>
      <c r="BJ155" s="2">
        <f t="shared" si="191"/>
        <v>538827</v>
      </c>
      <c r="BK155" s="173">
        <v>530000</v>
      </c>
      <c r="BL155" s="2">
        <f t="shared" si="194"/>
        <v>530000</v>
      </c>
      <c r="BM155" s="3">
        <f t="shared" si="232"/>
        <v>0.29509999999999997</v>
      </c>
      <c r="BN155" s="1">
        <f t="shared" si="218"/>
        <v>0</v>
      </c>
      <c r="BO155" s="4" t="b">
        <f t="shared" si="219"/>
        <v>1</v>
      </c>
      <c r="BP155" s="5">
        <f t="shared" si="220"/>
        <v>619.851</v>
      </c>
      <c r="BQ155" s="6">
        <f t="shared" si="195"/>
        <v>0.84415499999999999</v>
      </c>
      <c r="BR155" s="4">
        <f t="shared" si="221"/>
        <v>138.6</v>
      </c>
      <c r="BS155" s="4" t="b">
        <f t="shared" si="222"/>
        <v>0</v>
      </c>
      <c r="BT155" s="4">
        <f t="shared" si="223"/>
        <v>0</v>
      </c>
      <c r="BU155" s="6">
        <f t="shared" si="196"/>
        <v>0</v>
      </c>
      <c r="BV155" s="1">
        <f t="shared" si="224"/>
        <v>0</v>
      </c>
      <c r="BW155" s="1">
        <f t="shared" si="225"/>
        <v>0</v>
      </c>
      <c r="BX155" s="116">
        <v>174</v>
      </c>
      <c r="BY155" s="7">
        <f t="shared" si="233"/>
        <v>0.32</v>
      </c>
      <c r="BZ155" s="7">
        <f>IF(ROUND((Weightings!$P$5*BY155^Weightings!$P$6*Weightings!$P$8 ),2)&lt;Weightings!$P$7,Weightings!$P$7,ROUND((Weightings!$P$5*BY155^Weightings!$P$6*Weightings!$P$8 ),2))</f>
        <v>1299.72</v>
      </c>
      <c r="CA155" s="8">
        <f>ROUND(BZ155/Weightings!$M$5,4)</f>
        <v>0.33860000000000001</v>
      </c>
      <c r="CB155" s="1">
        <f t="shared" si="234"/>
        <v>19</v>
      </c>
      <c r="CC155" s="173">
        <v>0</v>
      </c>
      <c r="CD155" s="173">
        <v>0</v>
      </c>
      <c r="CE155" s="173">
        <v>0</v>
      </c>
      <c r="CF155" s="177">
        <v>0</v>
      </c>
      <c r="CG155" s="2">
        <f>AS155*Weightings!$M$5*CF155</f>
        <v>0</v>
      </c>
      <c r="CH155" s="2">
        <f t="shared" si="198"/>
        <v>0</v>
      </c>
      <c r="CI155" s="117">
        <f t="shared" si="226"/>
        <v>0.35299999999999998</v>
      </c>
      <c r="CJ155" s="4">
        <f t="shared" si="227"/>
        <v>0.9</v>
      </c>
      <c r="CK155" s="1">
        <f t="shared" si="235"/>
        <v>0</v>
      </c>
      <c r="CL155" s="1">
        <f t="shared" si="236"/>
        <v>0</v>
      </c>
      <c r="CM155" s="1">
        <f t="shared" si="237"/>
        <v>0.1</v>
      </c>
      <c r="CN155" s="1">
        <f>IF(ISNA(VLOOKUP($CZ155,'Audit Values'!$A$2:$AE$439,2,FALSE)),'Preliminary SO66'!T152,VLOOKUP($CZ155,'Audit Values'!$A$2:$AE$439,20,FALSE))</f>
        <v>1</v>
      </c>
      <c r="CO155" s="1">
        <f t="shared" si="228"/>
        <v>1.1000000000000001</v>
      </c>
      <c r="CP155" s="183">
        <v>0</v>
      </c>
      <c r="CQ155" s="1">
        <f t="shared" si="229"/>
        <v>0</v>
      </c>
      <c r="CR155" s="2">
        <f>IF(ISNA(VLOOKUP($CZ155,'Audit Values'!$A$2:$AE$439,2,FALSE)),'Preliminary SO66'!V152,VLOOKUP($CZ155,'Audit Values'!$A$2:$AE$439,22,FALSE))</f>
        <v>0</v>
      </c>
      <c r="CS155" s="1">
        <f t="shared" si="230"/>
        <v>0</v>
      </c>
      <c r="CT155" s="2">
        <f>IF(ISNA(VLOOKUP($CZ155,'Audit Values'!$A$2:$AE$439,2,FALSE)),'Preliminary SO66'!W152,VLOOKUP($CZ155,'Audit Values'!$A$2:$AE$439,23,FALSE))</f>
        <v>0</v>
      </c>
      <c r="CU155" s="1">
        <f t="shared" si="241"/>
        <v>0</v>
      </c>
      <c r="CV155" s="1">
        <f t="shared" si="242"/>
        <v>1.1000000000000001</v>
      </c>
      <c r="CW155" s="176">
        <v>0</v>
      </c>
      <c r="CX155" s="2">
        <f>IF(CW155&gt;0,Weightings!$M$11*AR155,0)</f>
        <v>0</v>
      </c>
      <c r="CY155" s="2">
        <f t="shared" si="238"/>
        <v>0</v>
      </c>
      <c r="CZ155" s="108" t="s">
        <v>447</v>
      </c>
    </row>
    <row r="156" spans="1:104">
      <c r="A156" s="82">
        <v>360</v>
      </c>
      <c r="B156" s="4" t="s">
        <v>68</v>
      </c>
      <c r="C156" s="4" t="s">
        <v>783</v>
      </c>
      <c r="D156" s="1">
        <v>229.5</v>
      </c>
      <c r="E156" s="1">
        <v>0</v>
      </c>
      <c r="F156" s="1">
        <f t="shared" si="240"/>
        <v>229.5</v>
      </c>
      <c r="G156" s="1">
        <v>239</v>
      </c>
      <c r="H156" s="1">
        <v>0</v>
      </c>
      <c r="I156" s="1">
        <f t="shared" si="201"/>
        <v>239</v>
      </c>
      <c r="J156" s="1">
        <f t="shared" si="202"/>
        <v>240.5</v>
      </c>
      <c r="K156" s="1">
        <f>IF(ISNA(VLOOKUP($CZ156,'Audit Values'!$A$2:$AE$439,2,FALSE)),'Preliminary SO66'!B153,VLOOKUP($CZ156,'Audit Values'!$A$2:$AE$439,31,FALSE))</f>
        <v>240.5</v>
      </c>
      <c r="L156" s="1">
        <f t="shared" si="203"/>
        <v>240.5</v>
      </c>
      <c r="M156" s="1">
        <f>IF(ISNA(VLOOKUP($CZ156,'Audit Values'!$A$2:$AE$439,2,FALSE)),'Preliminary SO66'!Z153,VLOOKUP($CZ156,'Audit Values'!$A$2:$AE$439,26,FALSE))</f>
        <v>0</v>
      </c>
      <c r="N156" s="1">
        <f t="shared" si="204"/>
        <v>240.5</v>
      </c>
      <c r="O156" s="1">
        <f>IF(ISNA(VLOOKUP($CZ156,'Audit Values'!$A$2:$AE$439,2,FALSE)),'Preliminary SO66'!C153,IF(VLOOKUP($CZ156,'Audit Values'!$A$2:$AE$439,28,FALSE)="",VLOOKUP($CZ156,'Audit Values'!$A$2:$AE$439,3,FALSE),VLOOKUP($CZ156,'Audit Values'!$A$2:$AE$439,28,FALSE)))</f>
        <v>3</v>
      </c>
      <c r="P156" s="109">
        <f t="shared" si="205"/>
        <v>243.5</v>
      </c>
      <c r="Q156" s="110">
        <f t="shared" si="206"/>
        <v>243.5</v>
      </c>
      <c r="R156" s="111">
        <f t="shared" si="207"/>
        <v>243.5</v>
      </c>
      <c r="S156" s="1">
        <f t="shared" si="208"/>
        <v>243.5</v>
      </c>
      <c r="T156" s="1">
        <f t="shared" si="239"/>
        <v>0</v>
      </c>
      <c r="U156" s="1">
        <f t="shared" si="209"/>
        <v>154.4</v>
      </c>
      <c r="V156" s="1">
        <f t="shared" si="199"/>
        <v>154.4</v>
      </c>
      <c r="W156" s="1">
        <f t="shared" si="200"/>
        <v>0</v>
      </c>
      <c r="X156" s="1">
        <f>IF(ISNA(VLOOKUP($CZ156,'Audit Values'!$A$2:$AE$439,2,FALSE)),'Preliminary SO66'!D153,VLOOKUP($CZ156,'Audit Values'!$A$2:$AE$439,4,FALSE))</f>
        <v>68</v>
      </c>
      <c r="Y156" s="1">
        <f>ROUND((X156/6)*Weightings!$M$6,1)</f>
        <v>5.7</v>
      </c>
      <c r="Z156" s="1">
        <f>IF(ISNA(VLOOKUP($CZ156,'Audit Values'!$A$2:$AE$439,2,FALSE)),'Preliminary SO66'!F153,VLOOKUP($CZ156,'Audit Values'!$A$2:$AE$439,6,FALSE))</f>
        <v>0</v>
      </c>
      <c r="AA156" s="1">
        <f>ROUND((Z156/6)*Weightings!$M$7,1)</f>
        <v>0</v>
      </c>
      <c r="AB156" s="2">
        <f>IF(ISNA(VLOOKUP($CZ156,'Audit Values'!$A$2:$AE$439,2,FALSE)),'Preliminary SO66'!H153,VLOOKUP($CZ156,'Audit Values'!$A$2:$AE$439,8,FALSE))</f>
        <v>102</v>
      </c>
      <c r="AC156" s="1">
        <f>ROUND(AB156*Weightings!$M$8,1)</f>
        <v>46.5</v>
      </c>
      <c r="AD156" s="1">
        <f t="shared" si="197"/>
        <v>4.9000000000000004</v>
      </c>
      <c r="AE156" s="185">
        <v>23</v>
      </c>
      <c r="AF156" s="1">
        <f>AE156*Weightings!$M$9</f>
        <v>1.1000000000000001</v>
      </c>
      <c r="AG156" s="1">
        <f>IF(ISNA(VLOOKUP($CZ156,'Audit Values'!$A$2:$AE$439,2,FALSE)),'Preliminary SO66'!L153,VLOOKUP($CZ156,'Audit Values'!$A$2:$AE$439,12,FALSE))</f>
        <v>0</v>
      </c>
      <c r="AH156" s="1">
        <f>ROUND(AG156*Weightings!$M$10,1)</f>
        <v>0</v>
      </c>
      <c r="AI156" s="1">
        <f>IF(ISNA(VLOOKUP($CZ156,'Audit Values'!$A$2:$AE$439,2,FALSE)),'Preliminary SO66'!O153,VLOOKUP($CZ156,'Audit Values'!$A$2:$AE$439,15,FALSE))</f>
        <v>43</v>
      </c>
      <c r="AJ156" s="1">
        <f t="shared" si="210"/>
        <v>15.9</v>
      </c>
      <c r="AK156" s="1">
        <f>CC156/Weightings!$M$5</f>
        <v>0</v>
      </c>
      <c r="AL156" s="1">
        <f>CD156/Weightings!$M$5</f>
        <v>0</v>
      </c>
      <c r="AM156" s="1">
        <f>CH156/Weightings!$M$5</f>
        <v>0</v>
      </c>
      <c r="AN156" s="1">
        <f t="shared" si="211"/>
        <v>0</v>
      </c>
      <c r="AO156" s="1">
        <f>IF(ISNA(VLOOKUP($CZ156,'Audit Values'!$A$2:$AE$439,2,FALSE)),'Preliminary SO66'!X153,VLOOKUP($CZ156,'Audit Values'!$A$2:$AE$439,24,FALSE))</f>
        <v>0</v>
      </c>
      <c r="AP156" s="188">
        <v>305915</v>
      </c>
      <c r="AQ156" s="113">
        <f>AP156/Weightings!$M$5</f>
        <v>79.7</v>
      </c>
      <c r="AR156" s="113">
        <f t="shared" si="212"/>
        <v>472</v>
      </c>
      <c r="AS156" s="1">
        <f t="shared" si="213"/>
        <v>551.70000000000005</v>
      </c>
      <c r="AT156" s="1">
        <f t="shared" si="214"/>
        <v>551.70000000000005</v>
      </c>
      <c r="AU156" s="2">
        <f t="shared" si="231"/>
        <v>0</v>
      </c>
      <c r="AV156" s="82">
        <f>IF(ISNA(VLOOKUP($CZ156,'Audit Values'!$A$2:$AC$360,2,FALSE)),"",IF(AND(Weightings!H156&gt;0,VLOOKUP($CZ156,'Audit Values'!$A$2:$AC$360,29,FALSE)&lt;Weightings!H156),Weightings!H156,VLOOKUP($CZ156,'Audit Values'!$A$2:$AC$360,29,FALSE)))</f>
        <v>1</v>
      </c>
      <c r="AW156" s="82" t="str">
        <f>IF(ISNA(VLOOKUP($CZ156,'Audit Values'!$A$2:$AD$360,2,FALSE)),"",VLOOKUP($CZ156,'Audit Values'!$A$2:$AD$360,30,FALSE))</f>
        <v>A</v>
      </c>
      <c r="AX156" s="82" t="str">
        <f>IF(Weightings!G156="","",IF(Weightings!I156="Pending","PX","R"))</f>
        <v/>
      </c>
      <c r="AY156" s="114">
        <f>AR156*Weightings!$M$5+AU156</f>
        <v>1811536</v>
      </c>
      <c r="AZ156" s="2">
        <f>AT156*Weightings!$M$5+AU156</f>
        <v>2117425</v>
      </c>
      <c r="BA156" s="2">
        <f>IF(Weightings!G156&gt;0,Weightings!G156,'Preliminary SO66'!AB153)</f>
        <v>2211839</v>
      </c>
      <c r="BB156" s="2">
        <f t="shared" si="215"/>
        <v>2117425</v>
      </c>
      <c r="BC156" s="124"/>
      <c r="BD156" s="124">
        <f>Weightings!E156</f>
        <v>0</v>
      </c>
      <c r="BE156" s="124">
        <f>Weightings!F156</f>
        <v>0</v>
      </c>
      <c r="BF156" s="2">
        <f t="shared" si="216"/>
        <v>0</v>
      </c>
      <c r="BG156" s="2">
        <f t="shared" si="217"/>
        <v>2117425</v>
      </c>
      <c r="BH156" s="2">
        <f>MAX(ROUND(((AR156-AO156)*4433)+AP156,0),ROUND(((AR156-AO156)*4433)+Weightings!B156,0))</f>
        <v>2410350</v>
      </c>
      <c r="BI156" s="174">
        <v>0.3</v>
      </c>
      <c r="BJ156" s="2">
        <f t="shared" si="191"/>
        <v>723105</v>
      </c>
      <c r="BK156" s="173">
        <v>750134</v>
      </c>
      <c r="BL156" s="2">
        <f t="shared" si="194"/>
        <v>723105</v>
      </c>
      <c r="BM156" s="3">
        <f t="shared" si="232"/>
        <v>0.3</v>
      </c>
      <c r="BN156" s="1">
        <f t="shared" si="218"/>
        <v>0</v>
      </c>
      <c r="BO156" s="4" t="b">
        <f t="shared" si="219"/>
        <v>1</v>
      </c>
      <c r="BP156" s="5">
        <f t="shared" si="220"/>
        <v>1385.4929999999999</v>
      </c>
      <c r="BQ156" s="6">
        <f t="shared" si="195"/>
        <v>0.63395199999999996</v>
      </c>
      <c r="BR156" s="4">
        <f t="shared" si="221"/>
        <v>154.4</v>
      </c>
      <c r="BS156" s="4" t="b">
        <f t="shared" si="222"/>
        <v>0</v>
      </c>
      <c r="BT156" s="4">
        <f t="shared" si="223"/>
        <v>0</v>
      </c>
      <c r="BU156" s="6">
        <f t="shared" si="196"/>
        <v>0</v>
      </c>
      <c r="BV156" s="1">
        <f t="shared" si="224"/>
        <v>0</v>
      </c>
      <c r="BW156" s="1">
        <f t="shared" si="225"/>
        <v>0</v>
      </c>
      <c r="BX156" s="116">
        <v>194</v>
      </c>
      <c r="BY156" s="7">
        <f t="shared" si="233"/>
        <v>0.22</v>
      </c>
      <c r="BZ156" s="7">
        <f>IF(ROUND((Weightings!$P$5*BY156^Weightings!$P$6*Weightings!$P$8 ),2)&lt;Weightings!$P$7,Weightings!$P$7,ROUND((Weightings!$P$5*BY156^Weightings!$P$6*Weightings!$P$8 ),2))</f>
        <v>1415.69</v>
      </c>
      <c r="CA156" s="8">
        <f>ROUND(BZ156/Weightings!$M$5,4)</f>
        <v>0.36890000000000001</v>
      </c>
      <c r="CB156" s="1">
        <f t="shared" si="234"/>
        <v>15.9</v>
      </c>
      <c r="CC156" s="173">
        <v>0</v>
      </c>
      <c r="CD156" s="173">
        <v>0</v>
      </c>
      <c r="CE156" s="173">
        <v>0</v>
      </c>
      <c r="CF156" s="177">
        <v>0</v>
      </c>
      <c r="CG156" s="2">
        <f>AS156*Weightings!$M$5*CF156</f>
        <v>0</v>
      </c>
      <c r="CH156" s="2">
        <f t="shared" si="198"/>
        <v>0</v>
      </c>
      <c r="CI156" s="117">
        <f t="shared" si="226"/>
        <v>0.41899999999999998</v>
      </c>
      <c r="CJ156" s="4">
        <f t="shared" si="227"/>
        <v>1.3</v>
      </c>
      <c r="CK156" s="1">
        <f t="shared" si="235"/>
        <v>0</v>
      </c>
      <c r="CL156" s="1">
        <f t="shared" si="236"/>
        <v>0</v>
      </c>
      <c r="CM156" s="1">
        <f t="shared" si="237"/>
        <v>4.9000000000000004</v>
      </c>
      <c r="CN156" s="1">
        <f>IF(ISNA(VLOOKUP($CZ156,'Audit Values'!$A$2:$AE$439,2,FALSE)),'Preliminary SO66'!T153,VLOOKUP($CZ156,'Audit Values'!$A$2:$AE$439,20,FALSE))</f>
        <v>0</v>
      </c>
      <c r="CO156" s="1">
        <f t="shared" si="228"/>
        <v>0</v>
      </c>
      <c r="CP156" s="183">
        <v>0</v>
      </c>
      <c r="CQ156" s="1">
        <f t="shared" si="229"/>
        <v>0</v>
      </c>
      <c r="CR156" s="2">
        <f>IF(ISNA(VLOOKUP($CZ156,'Audit Values'!$A$2:$AE$439,2,FALSE)),'Preliminary SO66'!V153,VLOOKUP($CZ156,'Audit Values'!$A$2:$AE$439,22,FALSE))</f>
        <v>0</v>
      </c>
      <c r="CS156" s="1">
        <f t="shared" si="230"/>
        <v>0</v>
      </c>
      <c r="CT156" s="2">
        <f>IF(ISNA(VLOOKUP($CZ156,'Audit Values'!$A$2:$AE$439,2,FALSE)),'Preliminary SO66'!W153,VLOOKUP($CZ156,'Audit Values'!$A$2:$AE$439,23,FALSE))</f>
        <v>0</v>
      </c>
      <c r="CU156" s="1">
        <f t="shared" si="241"/>
        <v>0</v>
      </c>
      <c r="CV156" s="1">
        <f t="shared" si="242"/>
        <v>0</v>
      </c>
      <c r="CW156" s="176">
        <v>0</v>
      </c>
      <c r="CX156" s="2">
        <f>IF(CW156&gt;0,Weightings!$M$11*AR156,0)</f>
        <v>0</v>
      </c>
      <c r="CY156" s="2">
        <f t="shared" si="238"/>
        <v>0</v>
      </c>
      <c r="CZ156" s="108" t="s">
        <v>448</v>
      </c>
    </row>
    <row r="157" spans="1:104">
      <c r="A157" s="82">
        <v>361</v>
      </c>
      <c r="B157" s="4" t="s">
        <v>70</v>
      </c>
      <c r="C157" s="4" t="s">
        <v>784</v>
      </c>
      <c r="D157" s="1">
        <v>804.5</v>
      </c>
      <c r="E157" s="1">
        <v>0</v>
      </c>
      <c r="F157" s="1">
        <f t="shared" si="240"/>
        <v>804.5</v>
      </c>
      <c r="G157" s="1">
        <v>828.6</v>
      </c>
      <c r="H157" s="1">
        <v>0</v>
      </c>
      <c r="I157" s="1">
        <f t="shared" si="201"/>
        <v>828.6</v>
      </c>
      <c r="J157" s="1">
        <f t="shared" si="202"/>
        <v>828.7</v>
      </c>
      <c r="K157" s="1">
        <f>IF(ISNA(VLOOKUP($CZ157,'Audit Values'!$A$2:$AE$439,2,FALSE)),'Preliminary SO66'!B154,VLOOKUP($CZ157,'Audit Values'!$A$2:$AE$439,31,FALSE))</f>
        <v>828.7</v>
      </c>
      <c r="L157" s="1">
        <f t="shared" si="203"/>
        <v>828.7</v>
      </c>
      <c r="M157" s="1">
        <f>IF(ISNA(VLOOKUP($CZ157,'Audit Values'!$A$2:$AE$439,2,FALSE)),'Preliminary SO66'!Z154,VLOOKUP($CZ157,'Audit Values'!$A$2:$AE$439,26,FALSE))</f>
        <v>0</v>
      </c>
      <c r="N157" s="1">
        <f t="shared" si="204"/>
        <v>828.7</v>
      </c>
      <c r="O157" s="1">
        <f>IF(ISNA(VLOOKUP($CZ157,'Audit Values'!$A$2:$AE$439,2,FALSE)),'Preliminary SO66'!C154,IF(VLOOKUP($CZ157,'Audit Values'!$A$2:$AE$439,28,FALSE)="",VLOOKUP($CZ157,'Audit Values'!$A$2:$AE$439,3,FALSE),VLOOKUP($CZ157,'Audit Values'!$A$2:$AE$439,28,FALSE)))</f>
        <v>10.5</v>
      </c>
      <c r="P157" s="109">
        <f t="shared" si="205"/>
        <v>839.2</v>
      </c>
      <c r="Q157" s="110">
        <f t="shared" si="206"/>
        <v>839.2</v>
      </c>
      <c r="R157" s="111">
        <f t="shared" si="207"/>
        <v>839.2</v>
      </c>
      <c r="S157" s="1">
        <f t="shared" si="208"/>
        <v>839.2</v>
      </c>
      <c r="T157" s="1">
        <f t="shared" si="239"/>
        <v>0</v>
      </c>
      <c r="U157" s="1">
        <f t="shared" si="209"/>
        <v>252.6</v>
      </c>
      <c r="V157" s="1">
        <f t="shared" si="199"/>
        <v>252.6</v>
      </c>
      <c r="W157" s="1">
        <f t="shared" si="200"/>
        <v>0</v>
      </c>
      <c r="X157" s="1">
        <f>IF(ISNA(VLOOKUP($CZ157,'Audit Values'!$A$2:$AE$439,2,FALSE)),'Preliminary SO66'!D154,VLOOKUP($CZ157,'Audit Values'!$A$2:$AE$439,4,FALSE))</f>
        <v>180.5</v>
      </c>
      <c r="Y157" s="1">
        <f>ROUND((X157/6)*Weightings!$M$6,1)</f>
        <v>15</v>
      </c>
      <c r="Z157" s="1">
        <f>IF(ISNA(VLOOKUP($CZ157,'Audit Values'!$A$2:$AE$439,2,FALSE)),'Preliminary SO66'!F154,VLOOKUP($CZ157,'Audit Values'!$A$2:$AE$439,6,FALSE))</f>
        <v>81.099999999999994</v>
      </c>
      <c r="AA157" s="1">
        <f>ROUND((Z157/6)*Weightings!$M$7,1)</f>
        <v>5.3</v>
      </c>
      <c r="AB157" s="2">
        <f>IF(ISNA(VLOOKUP($CZ157,'Audit Values'!$A$2:$AE$439,2,FALSE)),'Preliminary SO66'!H154,VLOOKUP($CZ157,'Audit Values'!$A$2:$AE$439,8,FALSE))</f>
        <v>455</v>
      </c>
      <c r="AC157" s="1">
        <f>ROUND(AB157*Weightings!$M$8,1)</f>
        <v>207.5</v>
      </c>
      <c r="AD157" s="1">
        <f t="shared" si="197"/>
        <v>47.8</v>
      </c>
      <c r="AE157" s="185">
        <v>33</v>
      </c>
      <c r="AF157" s="1">
        <f>AE157*Weightings!$M$9</f>
        <v>1.5</v>
      </c>
      <c r="AG157" s="1">
        <f>IF(ISNA(VLOOKUP($CZ157,'Audit Values'!$A$2:$AE$439,2,FALSE)),'Preliminary SO66'!L154,VLOOKUP($CZ157,'Audit Values'!$A$2:$AE$439,12,FALSE))</f>
        <v>0</v>
      </c>
      <c r="AH157" s="1">
        <f>ROUND(AG157*Weightings!$M$10,1)</f>
        <v>0</v>
      </c>
      <c r="AI157" s="1">
        <f>IF(ISNA(VLOOKUP($CZ157,'Audit Values'!$A$2:$AE$439,2,FALSE)),'Preliminary SO66'!O154,VLOOKUP($CZ157,'Audit Values'!$A$2:$AE$439,15,FALSE))</f>
        <v>324</v>
      </c>
      <c r="AJ157" s="1">
        <f t="shared" si="210"/>
        <v>97.4</v>
      </c>
      <c r="AK157" s="1">
        <f>CC157/Weightings!$M$5</f>
        <v>0</v>
      </c>
      <c r="AL157" s="1">
        <f>CD157/Weightings!$M$5</f>
        <v>0</v>
      </c>
      <c r="AM157" s="1">
        <f>CH157/Weightings!$M$5</f>
        <v>0</v>
      </c>
      <c r="AN157" s="1">
        <f t="shared" si="211"/>
        <v>0</v>
      </c>
      <c r="AO157" s="1">
        <f>IF(ISNA(VLOOKUP($CZ157,'Audit Values'!$A$2:$AE$439,2,FALSE)),'Preliminary SO66'!X154,VLOOKUP($CZ157,'Audit Values'!$A$2:$AE$439,24,FALSE))</f>
        <v>0</v>
      </c>
      <c r="AP157" s="188">
        <v>1012630</v>
      </c>
      <c r="AQ157" s="113">
        <f>AP157/Weightings!$M$5</f>
        <v>263.8</v>
      </c>
      <c r="AR157" s="113">
        <f t="shared" si="212"/>
        <v>1466.3</v>
      </c>
      <c r="AS157" s="1">
        <f t="shared" si="213"/>
        <v>1730.1</v>
      </c>
      <c r="AT157" s="1">
        <f t="shared" si="214"/>
        <v>1730.1</v>
      </c>
      <c r="AU157" s="2">
        <f t="shared" si="231"/>
        <v>0</v>
      </c>
      <c r="AV157" s="82">
        <f>IF(ISNA(VLOOKUP($CZ157,'Audit Values'!$A$2:$AC$360,2,FALSE)),"",IF(AND(Weightings!H157&gt;0,VLOOKUP($CZ157,'Audit Values'!$A$2:$AC$360,29,FALSE)&lt;Weightings!H157),Weightings!H157,VLOOKUP($CZ157,'Audit Values'!$A$2:$AC$360,29,FALSE)))</f>
        <v>3</v>
      </c>
      <c r="AW157" s="82" t="str">
        <f>IF(ISNA(VLOOKUP($CZ157,'Audit Values'!$A$2:$AD$360,2,FALSE)),"",VLOOKUP($CZ157,'Audit Values'!$A$2:$AD$360,30,FALSE))</f>
        <v>A</v>
      </c>
      <c r="AX157" s="82" t="str">
        <f>IF(Weightings!G157="","",IF(Weightings!I157="Pending","PX","R"))</f>
        <v/>
      </c>
      <c r="AY157" s="114">
        <f>AR157*Weightings!$M$5+AU157</f>
        <v>5627659</v>
      </c>
      <c r="AZ157" s="2">
        <f>AT157*Weightings!$M$5+AU157</f>
        <v>6640124</v>
      </c>
      <c r="BA157" s="2">
        <f>IF(Weightings!G157&gt;0,Weightings!G157,'Preliminary SO66'!AB154)</f>
        <v>7005885</v>
      </c>
      <c r="BB157" s="2">
        <f t="shared" si="215"/>
        <v>6640124</v>
      </c>
      <c r="BC157" s="124"/>
      <c r="BD157" s="124">
        <f>Weightings!E157</f>
        <v>0</v>
      </c>
      <c r="BE157" s="124">
        <f>Weightings!F157</f>
        <v>0</v>
      </c>
      <c r="BF157" s="2">
        <f t="shared" si="216"/>
        <v>0</v>
      </c>
      <c r="BG157" s="2">
        <f t="shared" si="217"/>
        <v>6640124</v>
      </c>
      <c r="BH157" s="2">
        <f>MAX(ROUND(((AR157-AO157)*4433)+AP157,0),ROUND(((AR157-AO157)*4433)+Weightings!B157,0))</f>
        <v>7512738</v>
      </c>
      <c r="BI157" s="174">
        <v>0.3</v>
      </c>
      <c r="BJ157" s="2">
        <f t="shared" si="191"/>
        <v>2253821</v>
      </c>
      <c r="BK157" s="173">
        <v>2323569</v>
      </c>
      <c r="BL157" s="2">
        <f t="shared" si="194"/>
        <v>2253821</v>
      </c>
      <c r="BM157" s="3">
        <f t="shared" si="232"/>
        <v>0.3</v>
      </c>
      <c r="BN157" s="1">
        <f t="shared" si="218"/>
        <v>0</v>
      </c>
      <c r="BO157" s="4" t="b">
        <f t="shared" si="219"/>
        <v>0</v>
      </c>
      <c r="BP157" s="5">
        <f t="shared" si="220"/>
        <v>0</v>
      </c>
      <c r="BQ157" s="6">
        <f t="shared" si="195"/>
        <v>0</v>
      </c>
      <c r="BR157" s="4">
        <f t="shared" si="221"/>
        <v>0</v>
      </c>
      <c r="BS157" s="4" t="b">
        <f t="shared" si="222"/>
        <v>1</v>
      </c>
      <c r="BT157" s="4">
        <f t="shared" si="223"/>
        <v>667.26</v>
      </c>
      <c r="BU157" s="6">
        <f t="shared" si="196"/>
        <v>0.30099399999999998</v>
      </c>
      <c r="BV157" s="1">
        <f t="shared" si="224"/>
        <v>252.6</v>
      </c>
      <c r="BW157" s="1">
        <f t="shared" si="225"/>
        <v>0</v>
      </c>
      <c r="BX157" s="116">
        <v>597.5</v>
      </c>
      <c r="BY157" s="7">
        <f t="shared" si="233"/>
        <v>0.54</v>
      </c>
      <c r="BZ157" s="7">
        <f>IF(ROUND((Weightings!$P$5*BY157^Weightings!$P$6*Weightings!$P$8 ),2)&lt;Weightings!$P$7,Weightings!$P$7,ROUND((Weightings!$P$5*BY157^Weightings!$P$6*Weightings!$P$8 ),2))</f>
        <v>1153.49</v>
      </c>
      <c r="CA157" s="8">
        <f>ROUND(BZ157/Weightings!$M$5,4)</f>
        <v>0.30049999999999999</v>
      </c>
      <c r="CB157" s="1">
        <f t="shared" si="234"/>
        <v>97.4</v>
      </c>
      <c r="CC157" s="173">
        <v>0</v>
      </c>
      <c r="CD157" s="173">
        <v>0</v>
      </c>
      <c r="CE157" s="173">
        <v>0</v>
      </c>
      <c r="CF157" s="177">
        <v>0</v>
      </c>
      <c r="CG157" s="2">
        <f>AS157*Weightings!$M$5*CF157</f>
        <v>0</v>
      </c>
      <c r="CH157" s="2">
        <f t="shared" si="198"/>
        <v>0</v>
      </c>
      <c r="CI157" s="117">
        <f t="shared" si="226"/>
        <v>0.54200000000000004</v>
      </c>
      <c r="CJ157" s="4">
        <f t="shared" si="227"/>
        <v>1.4</v>
      </c>
      <c r="CK157" s="1">
        <f t="shared" si="235"/>
        <v>47.8</v>
      </c>
      <c r="CL157" s="1">
        <f t="shared" si="236"/>
        <v>0</v>
      </c>
      <c r="CM157" s="1">
        <f t="shared" si="237"/>
        <v>0</v>
      </c>
      <c r="CN157" s="1">
        <f>IF(ISNA(VLOOKUP($CZ157,'Audit Values'!$A$2:$AE$439,2,FALSE)),'Preliminary SO66'!T154,VLOOKUP($CZ157,'Audit Values'!$A$2:$AE$439,20,FALSE))</f>
        <v>0</v>
      </c>
      <c r="CO157" s="1">
        <f t="shared" si="228"/>
        <v>0</v>
      </c>
      <c r="CP157" s="183">
        <v>0</v>
      </c>
      <c r="CQ157" s="1">
        <f t="shared" si="229"/>
        <v>0</v>
      </c>
      <c r="CR157" s="2">
        <f>IF(ISNA(VLOOKUP($CZ157,'Audit Values'!$A$2:$AE$439,2,FALSE)),'Preliminary SO66'!V154,VLOOKUP($CZ157,'Audit Values'!$A$2:$AE$439,22,FALSE))</f>
        <v>0</v>
      </c>
      <c r="CS157" s="1">
        <f t="shared" si="230"/>
        <v>0</v>
      </c>
      <c r="CT157" s="2">
        <f>IF(ISNA(VLOOKUP($CZ157,'Audit Values'!$A$2:$AE$439,2,FALSE)),'Preliminary SO66'!W154,VLOOKUP($CZ157,'Audit Values'!$A$2:$AE$439,23,FALSE))</f>
        <v>0</v>
      </c>
      <c r="CU157" s="1">
        <f t="shared" si="241"/>
        <v>0</v>
      </c>
      <c r="CV157" s="1">
        <f t="shared" si="242"/>
        <v>0</v>
      </c>
      <c r="CW157" s="176">
        <v>0</v>
      </c>
      <c r="CX157" s="2">
        <f>IF(CW157&gt;0,Weightings!$M$11*AR157,0)</f>
        <v>0</v>
      </c>
      <c r="CY157" s="2">
        <f t="shared" si="238"/>
        <v>0</v>
      </c>
      <c r="CZ157" s="108" t="s">
        <v>449</v>
      </c>
    </row>
    <row r="158" spans="1:104">
      <c r="A158" s="82">
        <v>362</v>
      </c>
      <c r="B158" s="4" t="s">
        <v>62</v>
      </c>
      <c r="C158" s="4" t="s">
        <v>785</v>
      </c>
      <c r="D158" s="1">
        <v>927</v>
      </c>
      <c r="E158" s="1">
        <v>0</v>
      </c>
      <c r="F158" s="1">
        <f t="shared" si="240"/>
        <v>927</v>
      </c>
      <c r="G158" s="1">
        <v>913</v>
      </c>
      <c r="H158" s="1">
        <v>0</v>
      </c>
      <c r="I158" s="1">
        <f t="shared" si="201"/>
        <v>913</v>
      </c>
      <c r="J158" s="1">
        <f t="shared" si="202"/>
        <v>910.3</v>
      </c>
      <c r="K158" s="1">
        <f>IF(ISNA(VLOOKUP($CZ158,'Audit Values'!$A$2:$AE$439,2,FALSE)),'Preliminary SO66'!B155,VLOOKUP($CZ158,'Audit Values'!$A$2:$AE$439,31,FALSE))</f>
        <v>909.3</v>
      </c>
      <c r="L158" s="1">
        <f t="shared" si="203"/>
        <v>916.4</v>
      </c>
      <c r="M158" s="1">
        <f>IF(ISNA(VLOOKUP($CZ158,'Audit Values'!$A$2:$AE$439,2,FALSE)),'Preliminary SO66'!Z155,VLOOKUP($CZ158,'Audit Values'!$A$2:$AE$439,26,FALSE))</f>
        <v>0</v>
      </c>
      <c r="N158" s="1">
        <f t="shared" si="204"/>
        <v>916.4</v>
      </c>
      <c r="O158" s="1">
        <f>IF(ISNA(VLOOKUP($CZ158,'Audit Values'!$A$2:$AE$439,2,FALSE)),'Preliminary SO66'!C155,IF(VLOOKUP($CZ158,'Audit Values'!$A$2:$AE$439,28,FALSE)="",VLOOKUP($CZ158,'Audit Values'!$A$2:$AE$439,3,FALSE),VLOOKUP($CZ158,'Audit Values'!$A$2:$AE$439,28,FALSE)))</f>
        <v>0</v>
      </c>
      <c r="P158" s="109">
        <f t="shared" si="205"/>
        <v>909.3</v>
      </c>
      <c r="Q158" s="110">
        <f t="shared" si="206"/>
        <v>910.3</v>
      </c>
      <c r="R158" s="111">
        <f t="shared" si="207"/>
        <v>910.3</v>
      </c>
      <c r="S158" s="1">
        <f t="shared" si="208"/>
        <v>916.4</v>
      </c>
      <c r="T158" s="1">
        <f t="shared" si="239"/>
        <v>1</v>
      </c>
      <c r="U158" s="1">
        <f t="shared" si="209"/>
        <v>251.8</v>
      </c>
      <c r="V158" s="1">
        <f t="shared" si="199"/>
        <v>251.8</v>
      </c>
      <c r="W158" s="1">
        <f t="shared" si="200"/>
        <v>0</v>
      </c>
      <c r="X158" s="1">
        <f>IF(ISNA(VLOOKUP($CZ158,'Audit Values'!$A$2:$AE$439,2,FALSE)),'Preliminary SO66'!D155,VLOOKUP($CZ158,'Audit Values'!$A$2:$AE$439,4,FALSE))</f>
        <v>228.2</v>
      </c>
      <c r="Y158" s="1">
        <f>ROUND((X158/6)*Weightings!$M$6,1)</f>
        <v>19</v>
      </c>
      <c r="Z158" s="1">
        <f>IF(ISNA(VLOOKUP($CZ158,'Audit Values'!$A$2:$AE$439,2,FALSE)),'Preliminary SO66'!F155,VLOOKUP($CZ158,'Audit Values'!$A$2:$AE$439,6,FALSE))</f>
        <v>3.6</v>
      </c>
      <c r="AA158" s="1">
        <f>ROUND((Z158/6)*Weightings!$M$7,1)</f>
        <v>0.2</v>
      </c>
      <c r="AB158" s="2">
        <f>IF(ISNA(VLOOKUP($CZ158,'Audit Values'!$A$2:$AE$439,2,FALSE)),'Preliminary SO66'!H155,VLOOKUP($CZ158,'Audit Values'!$A$2:$AE$439,8,FALSE))</f>
        <v>385</v>
      </c>
      <c r="AC158" s="1">
        <f>ROUND(AB158*Weightings!$M$8,1)</f>
        <v>175.6</v>
      </c>
      <c r="AD158" s="1">
        <f t="shared" si="197"/>
        <v>18.899999999999999</v>
      </c>
      <c r="AE158" s="185">
        <v>42</v>
      </c>
      <c r="AF158" s="1">
        <f>AE158*Weightings!$M$9</f>
        <v>2</v>
      </c>
      <c r="AG158" s="1">
        <f>IF(ISNA(VLOOKUP($CZ158,'Audit Values'!$A$2:$AE$439,2,FALSE)),'Preliminary SO66'!L155,VLOOKUP($CZ158,'Audit Values'!$A$2:$AE$439,12,FALSE))</f>
        <v>0</v>
      </c>
      <c r="AH158" s="1">
        <f>ROUND(AG158*Weightings!$M$10,1)</f>
        <v>0</v>
      </c>
      <c r="AI158" s="1">
        <f>IF(ISNA(VLOOKUP($CZ158,'Audit Values'!$A$2:$AE$439,2,FALSE)),'Preliminary SO66'!O155,VLOOKUP($CZ158,'Audit Values'!$A$2:$AE$439,15,FALSE))</f>
        <v>656.5</v>
      </c>
      <c r="AJ158" s="1">
        <f t="shared" si="210"/>
        <v>145.5</v>
      </c>
      <c r="AK158" s="1">
        <f>CC158/Weightings!$M$5</f>
        <v>0</v>
      </c>
      <c r="AL158" s="1">
        <f>CD158/Weightings!$M$5</f>
        <v>0</v>
      </c>
      <c r="AM158" s="1">
        <f>CH158/Weightings!$M$5</f>
        <v>0</v>
      </c>
      <c r="AN158" s="1">
        <f t="shared" si="211"/>
        <v>1.4</v>
      </c>
      <c r="AO158" s="1">
        <f>IF(ISNA(VLOOKUP($CZ158,'Audit Values'!$A$2:$AE$439,2,FALSE)),'Preliminary SO66'!X155,VLOOKUP($CZ158,'Audit Values'!$A$2:$AE$439,24,FALSE))</f>
        <v>0</v>
      </c>
      <c r="AP158" s="188">
        <v>1198425</v>
      </c>
      <c r="AQ158" s="113">
        <f>AP158/Weightings!$M$5</f>
        <v>312.3</v>
      </c>
      <c r="AR158" s="113">
        <f t="shared" si="212"/>
        <v>1530.8</v>
      </c>
      <c r="AS158" s="1">
        <f t="shared" si="213"/>
        <v>1843.1</v>
      </c>
      <c r="AT158" s="1">
        <f t="shared" si="214"/>
        <v>1843.1</v>
      </c>
      <c r="AU158" s="2">
        <f t="shared" si="231"/>
        <v>0</v>
      </c>
      <c r="AV158" s="82">
        <f>IF(ISNA(VLOOKUP($CZ158,'Audit Values'!$A$2:$AC$360,2,FALSE)),"",IF(AND(Weightings!H158&gt;0,VLOOKUP($CZ158,'Audit Values'!$A$2:$AC$360,29,FALSE)&lt;Weightings!H158),Weightings!H158,VLOOKUP($CZ158,'Audit Values'!$A$2:$AC$360,29,FALSE)))</f>
        <v>11</v>
      </c>
      <c r="AW158" s="82" t="str">
        <f>IF(ISNA(VLOOKUP($CZ158,'Audit Values'!$A$2:$AD$360,2,FALSE)),"",VLOOKUP($CZ158,'Audit Values'!$A$2:$AD$360,30,FALSE))</f>
        <v>A</v>
      </c>
      <c r="AX158" s="82" t="str">
        <f>IF(Weightings!G158="","",IF(Weightings!I158="Pending","PX","R"))</f>
        <v/>
      </c>
      <c r="AY158" s="114">
        <f>AR158*Weightings!$M$5+AU158</f>
        <v>5875210</v>
      </c>
      <c r="AZ158" s="2">
        <f>AT158*Weightings!$M$5+AU158</f>
        <v>7073818</v>
      </c>
      <c r="BA158" s="2">
        <f>IF(Weightings!G158&gt;0,Weightings!G158,'Preliminary SO66'!AB155)</f>
        <v>7500987</v>
      </c>
      <c r="BB158" s="2">
        <f t="shared" si="215"/>
        <v>7073818</v>
      </c>
      <c r="BC158" s="124"/>
      <c r="BD158" s="124">
        <f>Weightings!E158</f>
        <v>0</v>
      </c>
      <c r="BE158" s="124">
        <f>Weightings!F158</f>
        <v>0</v>
      </c>
      <c r="BF158" s="2">
        <f t="shared" si="216"/>
        <v>0</v>
      </c>
      <c r="BG158" s="2">
        <f t="shared" si="217"/>
        <v>7073818</v>
      </c>
      <c r="BH158" s="2">
        <f>MAX(ROUND(((AR158-AO158)*4433)+AP158,0),ROUND(((AR158-AO158)*4433)+Weightings!B158,0))</f>
        <v>8198681</v>
      </c>
      <c r="BI158" s="174">
        <v>0.3</v>
      </c>
      <c r="BJ158" s="2">
        <f t="shared" si="191"/>
        <v>2459604</v>
      </c>
      <c r="BK158" s="173">
        <v>2529432</v>
      </c>
      <c r="BL158" s="2">
        <f t="shared" si="194"/>
        <v>2459604</v>
      </c>
      <c r="BM158" s="3">
        <f t="shared" si="232"/>
        <v>0.3</v>
      </c>
      <c r="BN158" s="1">
        <f t="shared" si="218"/>
        <v>0</v>
      </c>
      <c r="BO158" s="4" t="b">
        <f t="shared" si="219"/>
        <v>0</v>
      </c>
      <c r="BP158" s="5">
        <f t="shared" si="220"/>
        <v>0</v>
      </c>
      <c r="BQ158" s="6">
        <f t="shared" si="195"/>
        <v>0</v>
      </c>
      <c r="BR158" s="4">
        <f t="shared" si="221"/>
        <v>0</v>
      </c>
      <c r="BS158" s="4" t="b">
        <f t="shared" si="222"/>
        <v>1</v>
      </c>
      <c r="BT158" s="4">
        <f t="shared" si="223"/>
        <v>762.79499999999996</v>
      </c>
      <c r="BU158" s="6">
        <f t="shared" si="196"/>
        <v>0.27476499999999998</v>
      </c>
      <c r="BV158" s="1">
        <f t="shared" si="224"/>
        <v>251.8</v>
      </c>
      <c r="BW158" s="1">
        <f t="shared" si="225"/>
        <v>0</v>
      </c>
      <c r="BX158" s="116">
        <v>320</v>
      </c>
      <c r="BY158" s="7">
        <f t="shared" si="233"/>
        <v>2.0499999999999998</v>
      </c>
      <c r="BZ158" s="7">
        <f>IF(ROUND((Weightings!$P$5*BY158^Weightings!$P$6*Weightings!$P$8 ),2)&lt;Weightings!$P$7,Weightings!$P$7,ROUND((Weightings!$P$5*BY158^Weightings!$P$6*Weightings!$P$8 ),2))</f>
        <v>850.87</v>
      </c>
      <c r="CA158" s="8">
        <f>ROUND(BZ158/Weightings!$M$5,4)</f>
        <v>0.22170000000000001</v>
      </c>
      <c r="CB158" s="1">
        <f t="shared" si="234"/>
        <v>145.5</v>
      </c>
      <c r="CC158" s="173">
        <v>0</v>
      </c>
      <c r="CD158" s="173">
        <v>0</v>
      </c>
      <c r="CE158" s="173">
        <v>0</v>
      </c>
      <c r="CF158" s="177">
        <v>0</v>
      </c>
      <c r="CG158" s="2">
        <f>AS158*Weightings!$M$5*CF158</f>
        <v>0</v>
      </c>
      <c r="CH158" s="2">
        <f t="shared" si="198"/>
        <v>0</v>
      </c>
      <c r="CI158" s="117">
        <f t="shared" si="226"/>
        <v>0.42</v>
      </c>
      <c r="CJ158" s="4">
        <f t="shared" si="227"/>
        <v>2.9</v>
      </c>
      <c r="CK158" s="1">
        <f t="shared" si="235"/>
        <v>0</v>
      </c>
      <c r="CL158" s="1">
        <f t="shared" si="236"/>
        <v>0</v>
      </c>
      <c r="CM158" s="1">
        <f t="shared" si="237"/>
        <v>18.899999999999999</v>
      </c>
      <c r="CN158" s="1">
        <f>IF(ISNA(VLOOKUP($CZ158,'Audit Values'!$A$2:$AE$439,2,FALSE)),'Preliminary SO66'!T155,VLOOKUP($CZ158,'Audit Values'!$A$2:$AE$439,20,FALSE))</f>
        <v>1</v>
      </c>
      <c r="CO158" s="1">
        <f t="shared" si="228"/>
        <v>1.1000000000000001</v>
      </c>
      <c r="CP158" s="181">
        <v>1</v>
      </c>
      <c r="CQ158" s="1">
        <f t="shared" si="229"/>
        <v>0.3</v>
      </c>
      <c r="CR158" s="2">
        <f>IF(ISNA(VLOOKUP($CZ158,'Audit Values'!$A$2:$AE$439,2,FALSE)),'Preliminary SO66'!V155,VLOOKUP($CZ158,'Audit Values'!$A$2:$AE$439,22,FALSE))</f>
        <v>0</v>
      </c>
      <c r="CS158" s="1">
        <f t="shared" si="230"/>
        <v>0</v>
      </c>
      <c r="CT158" s="2">
        <f>IF(ISNA(VLOOKUP($CZ158,'Audit Values'!$A$2:$AE$439,2,FALSE)),'Preliminary SO66'!W155,VLOOKUP($CZ158,'Audit Values'!$A$2:$AE$439,23,FALSE))</f>
        <v>0</v>
      </c>
      <c r="CU158" s="1">
        <f t="shared" si="241"/>
        <v>0</v>
      </c>
      <c r="CV158" s="1">
        <f t="shared" si="242"/>
        <v>1.4</v>
      </c>
      <c r="CW158" s="176">
        <v>0</v>
      </c>
      <c r="CX158" s="2">
        <f>IF(CW158&gt;0,Weightings!$M$11*AR158,0)</f>
        <v>0</v>
      </c>
      <c r="CY158" s="2">
        <f t="shared" si="238"/>
        <v>0</v>
      </c>
      <c r="CZ158" s="108" t="s">
        <v>450</v>
      </c>
    </row>
    <row r="159" spans="1:104">
      <c r="A159" s="82">
        <v>363</v>
      </c>
      <c r="B159" s="4" t="s">
        <v>71</v>
      </c>
      <c r="C159" s="4" t="s">
        <v>786</v>
      </c>
      <c r="D159" s="1">
        <v>939</v>
      </c>
      <c r="E159" s="1">
        <v>0</v>
      </c>
      <c r="F159" s="1">
        <f t="shared" si="240"/>
        <v>939</v>
      </c>
      <c r="G159" s="1">
        <v>941.2</v>
      </c>
      <c r="H159" s="1">
        <v>0</v>
      </c>
      <c r="I159" s="1">
        <f t="shared" si="201"/>
        <v>941.2</v>
      </c>
      <c r="J159" s="1">
        <f t="shared" si="202"/>
        <v>920.1</v>
      </c>
      <c r="K159" s="1">
        <f>IF(ISNA(VLOOKUP($CZ159,'Audit Values'!$A$2:$AE$439,2,FALSE)),'Preliminary SO66'!B156,VLOOKUP($CZ159,'Audit Values'!$A$2:$AE$439,31,FALSE))</f>
        <v>913.4</v>
      </c>
      <c r="L159" s="1">
        <f t="shared" si="203"/>
        <v>941.2</v>
      </c>
      <c r="M159" s="1">
        <f>IF(ISNA(VLOOKUP($CZ159,'Audit Values'!$A$2:$AE$439,2,FALSE)),'Preliminary SO66'!Z156,VLOOKUP($CZ159,'Audit Values'!$A$2:$AE$439,26,FALSE))</f>
        <v>0</v>
      </c>
      <c r="N159" s="1">
        <f t="shared" si="204"/>
        <v>941.2</v>
      </c>
      <c r="O159" s="1">
        <f>IF(ISNA(VLOOKUP($CZ159,'Audit Values'!$A$2:$AE$439,2,FALSE)),'Preliminary SO66'!C156,IF(VLOOKUP($CZ159,'Audit Values'!$A$2:$AE$439,28,FALSE)="",VLOOKUP($CZ159,'Audit Values'!$A$2:$AE$439,3,FALSE),VLOOKUP($CZ159,'Audit Values'!$A$2:$AE$439,28,FALSE)))</f>
        <v>12</v>
      </c>
      <c r="P159" s="109">
        <f t="shared" si="205"/>
        <v>925.4</v>
      </c>
      <c r="Q159" s="110">
        <f t="shared" si="206"/>
        <v>932.1</v>
      </c>
      <c r="R159" s="111">
        <f t="shared" si="207"/>
        <v>932.1</v>
      </c>
      <c r="S159" s="1">
        <f t="shared" si="208"/>
        <v>953.2</v>
      </c>
      <c r="T159" s="1">
        <f t="shared" si="239"/>
        <v>6.7</v>
      </c>
      <c r="U159" s="1">
        <f t="shared" si="209"/>
        <v>250</v>
      </c>
      <c r="V159" s="1">
        <f t="shared" si="199"/>
        <v>250</v>
      </c>
      <c r="W159" s="1">
        <f t="shared" si="200"/>
        <v>0</v>
      </c>
      <c r="X159" s="1">
        <f>IF(ISNA(VLOOKUP($CZ159,'Audit Values'!$A$2:$AE$439,2,FALSE)),'Preliminary SO66'!D156,VLOOKUP($CZ159,'Audit Values'!$A$2:$AE$439,4,FALSE))</f>
        <v>138.1</v>
      </c>
      <c r="Y159" s="1">
        <f>ROUND((X159/6)*Weightings!$M$6,1)</f>
        <v>11.5</v>
      </c>
      <c r="Z159" s="1">
        <f>IF(ISNA(VLOOKUP($CZ159,'Audit Values'!$A$2:$AE$439,2,FALSE)),'Preliminary SO66'!F156,VLOOKUP($CZ159,'Audit Values'!$A$2:$AE$439,6,FALSE))</f>
        <v>660.5</v>
      </c>
      <c r="AA159" s="1">
        <f>ROUND((Z159/6)*Weightings!$M$7,1)</f>
        <v>43.5</v>
      </c>
      <c r="AB159" s="2">
        <f>IF(ISNA(VLOOKUP($CZ159,'Audit Values'!$A$2:$AE$439,2,FALSE)),'Preliminary SO66'!H156,VLOOKUP($CZ159,'Audit Values'!$A$2:$AE$439,8,FALSE))</f>
        <v>415</v>
      </c>
      <c r="AC159" s="1">
        <f>ROUND(AB159*Weightings!$M$8,1)</f>
        <v>189.2</v>
      </c>
      <c r="AD159" s="1">
        <f t="shared" si="197"/>
        <v>24.7</v>
      </c>
      <c r="AE159" s="185">
        <v>56</v>
      </c>
      <c r="AF159" s="1">
        <f>AE159*Weightings!$M$9</f>
        <v>2.6</v>
      </c>
      <c r="AG159" s="1">
        <f>IF(ISNA(VLOOKUP($CZ159,'Audit Values'!$A$2:$AE$439,2,FALSE)),'Preliminary SO66'!L156,VLOOKUP($CZ159,'Audit Values'!$A$2:$AE$439,12,FALSE))</f>
        <v>0</v>
      </c>
      <c r="AH159" s="1">
        <f>ROUND(AG159*Weightings!$M$10,1)</f>
        <v>0</v>
      </c>
      <c r="AI159" s="1">
        <f>IF(ISNA(VLOOKUP($CZ159,'Audit Values'!$A$2:$AE$439,2,FALSE)),'Preliminary SO66'!O156,VLOOKUP($CZ159,'Audit Values'!$A$2:$AE$439,15,FALSE))</f>
        <v>106</v>
      </c>
      <c r="AJ159" s="1">
        <f t="shared" si="210"/>
        <v>33</v>
      </c>
      <c r="AK159" s="1">
        <f>CC159/Weightings!$M$5</f>
        <v>0</v>
      </c>
      <c r="AL159" s="1">
        <f>CD159/Weightings!$M$5</f>
        <v>0</v>
      </c>
      <c r="AM159" s="1">
        <f>CH159/Weightings!$M$5</f>
        <v>0</v>
      </c>
      <c r="AN159" s="1">
        <f t="shared" si="211"/>
        <v>7</v>
      </c>
      <c r="AO159" s="1">
        <f>IF(ISNA(VLOOKUP($CZ159,'Audit Values'!$A$2:$AE$439,2,FALSE)),'Preliminary SO66'!X156,VLOOKUP($CZ159,'Audit Values'!$A$2:$AE$439,24,FALSE))</f>
        <v>0</v>
      </c>
      <c r="AP159" s="188">
        <v>540967</v>
      </c>
      <c r="AQ159" s="113">
        <f>AP159/Weightings!$M$5</f>
        <v>141</v>
      </c>
      <c r="AR159" s="113">
        <f t="shared" si="212"/>
        <v>1514.7</v>
      </c>
      <c r="AS159" s="1">
        <f t="shared" si="213"/>
        <v>1655.7</v>
      </c>
      <c r="AT159" s="1">
        <f t="shared" si="214"/>
        <v>1655.7</v>
      </c>
      <c r="AU159" s="2">
        <f t="shared" si="231"/>
        <v>0</v>
      </c>
      <c r="AV159" s="82">
        <f>IF(ISNA(VLOOKUP($CZ159,'Audit Values'!$A$2:$AC$360,2,FALSE)),"",IF(AND(Weightings!H159&gt;0,VLOOKUP($CZ159,'Audit Values'!$A$2:$AC$360,29,FALSE)&lt;Weightings!H159),Weightings!H159,VLOOKUP($CZ159,'Audit Values'!$A$2:$AC$360,29,FALSE)))</f>
        <v>15</v>
      </c>
      <c r="AW159" s="82" t="str">
        <f>IF(ISNA(VLOOKUP($CZ159,'Audit Values'!$A$2:$AD$360,2,FALSE)),"",VLOOKUP($CZ159,'Audit Values'!$A$2:$AD$360,30,FALSE))</f>
        <v>A</v>
      </c>
      <c r="AX159" s="82" t="str">
        <f>IF(Weightings!G159="","",IF(Weightings!I159="Pending","PX","R"))</f>
        <v/>
      </c>
      <c r="AY159" s="114">
        <f>AR159*Weightings!$M$5+AU159</f>
        <v>5813419</v>
      </c>
      <c r="AZ159" s="2">
        <f>AT159*Weightings!$M$5+AU159</f>
        <v>6354577</v>
      </c>
      <c r="BA159" s="2">
        <f>IF(Weightings!G159&gt;0,Weightings!G159,'Preliminary SO66'!AB156)</f>
        <v>6392957</v>
      </c>
      <c r="BB159" s="2">
        <f t="shared" si="215"/>
        <v>6354577</v>
      </c>
      <c r="BC159" s="124"/>
      <c r="BD159" s="124">
        <f>Weightings!E159</f>
        <v>-1204</v>
      </c>
      <c r="BE159" s="124">
        <f>Weightings!F159</f>
        <v>0</v>
      </c>
      <c r="BF159" s="2">
        <f t="shared" si="216"/>
        <v>-1204</v>
      </c>
      <c r="BG159" s="2">
        <f t="shared" si="217"/>
        <v>6353373</v>
      </c>
      <c r="BH159" s="2">
        <f>MAX(ROUND(((AR159-AO159)*4433)+AP159,0),ROUND(((AR159-AO159)*4433)+Weightings!B159,0))</f>
        <v>7255632</v>
      </c>
      <c r="BI159" s="174">
        <v>0.3</v>
      </c>
      <c r="BJ159" s="2">
        <f t="shared" si="191"/>
        <v>2176690</v>
      </c>
      <c r="BK159" s="173">
        <v>2150000</v>
      </c>
      <c r="BL159" s="2">
        <f t="shared" si="194"/>
        <v>2150000</v>
      </c>
      <c r="BM159" s="3">
        <f t="shared" si="232"/>
        <v>0.29630000000000001</v>
      </c>
      <c r="BN159" s="1">
        <f t="shared" si="218"/>
        <v>0</v>
      </c>
      <c r="BO159" s="4" t="b">
        <f t="shared" si="219"/>
        <v>0</v>
      </c>
      <c r="BP159" s="5">
        <f t="shared" si="220"/>
        <v>0</v>
      </c>
      <c r="BQ159" s="6">
        <f t="shared" si="195"/>
        <v>0</v>
      </c>
      <c r="BR159" s="4">
        <f t="shared" si="221"/>
        <v>0</v>
      </c>
      <c r="BS159" s="4" t="b">
        <f t="shared" si="222"/>
        <v>1</v>
      </c>
      <c r="BT159" s="4">
        <f t="shared" si="223"/>
        <v>808.33500000000004</v>
      </c>
      <c r="BU159" s="6">
        <f t="shared" si="196"/>
        <v>0.26226300000000002</v>
      </c>
      <c r="BV159" s="1">
        <f t="shared" si="224"/>
        <v>250</v>
      </c>
      <c r="BW159" s="1">
        <f t="shared" si="225"/>
        <v>0</v>
      </c>
      <c r="BX159" s="116">
        <v>231</v>
      </c>
      <c r="BY159" s="7">
        <f t="shared" si="233"/>
        <v>0.46</v>
      </c>
      <c r="BZ159" s="7">
        <f>IF(ROUND((Weightings!$P$5*BY159^Weightings!$P$6*Weightings!$P$8 ),2)&lt;Weightings!$P$7,Weightings!$P$7,ROUND((Weightings!$P$5*BY159^Weightings!$P$6*Weightings!$P$8 ),2))</f>
        <v>1196.46</v>
      </c>
      <c r="CA159" s="8">
        <f>ROUND(BZ159/Weightings!$M$5,4)</f>
        <v>0.31169999999999998</v>
      </c>
      <c r="CB159" s="1">
        <f t="shared" si="234"/>
        <v>33</v>
      </c>
      <c r="CC159" s="173">
        <v>0</v>
      </c>
      <c r="CD159" s="173">
        <v>0</v>
      </c>
      <c r="CE159" s="173">
        <v>0</v>
      </c>
      <c r="CF159" s="177">
        <v>0</v>
      </c>
      <c r="CG159" s="2">
        <f>AS159*Weightings!$M$5*CF159</f>
        <v>0</v>
      </c>
      <c r="CH159" s="2">
        <f t="shared" si="198"/>
        <v>0</v>
      </c>
      <c r="CI159" s="117">
        <f t="shared" si="226"/>
        <v>0.435</v>
      </c>
      <c r="CJ159" s="4">
        <f t="shared" si="227"/>
        <v>4.0999999999999996</v>
      </c>
      <c r="CK159" s="1">
        <f t="shared" si="235"/>
        <v>0</v>
      </c>
      <c r="CL159" s="1">
        <f t="shared" si="236"/>
        <v>0</v>
      </c>
      <c r="CM159" s="1">
        <f t="shared" si="237"/>
        <v>24.7</v>
      </c>
      <c r="CN159" s="1">
        <f>IF(ISNA(VLOOKUP($CZ159,'Audit Values'!$A$2:$AE$439,2,FALSE)),'Preliminary SO66'!T156,VLOOKUP($CZ159,'Audit Values'!$A$2:$AE$439,20,FALSE))</f>
        <v>6.7</v>
      </c>
      <c r="CO159" s="1">
        <f t="shared" si="228"/>
        <v>7</v>
      </c>
      <c r="CP159" s="183">
        <v>0</v>
      </c>
      <c r="CQ159" s="1">
        <f t="shared" si="229"/>
        <v>0</v>
      </c>
      <c r="CR159" s="2">
        <f>IF(ISNA(VLOOKUP($CZ159,'Audit Values'!$A$2:$AE$439,2,FALSE)),'Preliminary SO66'!V156,VLOOKUP($CZ159,'Audit Values'!$A$2:$AE$439,22,FALSE))</f>
        <v>0</v>
      </c>
      <c r="CS159" s="1">
        <f t="shared" si="230"/>
        <v>0</v>
      </c>
      <c r="CT159" s="2">
        <f>IF(ISNA(VLOOKUP($CZ159,'Audit Values'!$A$2:$AE$439,2,FALSE)),'Preliminary SO66'!W156,VLOOKUP($CZ159,'Audit Values'!$A$2:$AE$439,23,FALSE))</f>
        <v>0</v>
      </c>
      <c r="CU159" s="1">
        <f t="shared" si="241"/>
        <v>0</v>
      </c>
      <c r="CV159" s="1">
        <f t="shared" si="242"/>
        <v>7</v>
      </c>
      <c r="CW159" s="176">
        <v>0</v>
      </c>
      <c r="CX159" s="2">
        <f>IF(CW159&gt;0,Weightings!$M$11*AR159,0)</f>
        <v>0</v>
      </c>
      <c r="CY159" s="2">
        <f t="shared" si="238"/>
        <v>0</v>
      </c>
      <c r="CZ159" s="108" t="s">
        <v>451</v>
      </c>
    </row>
    <row r="160" spans="1:104">
      <c r="A160" s="82">
        <v>364</v>
      </c>
      <c r="B160" s="4" t="s">
        <v>72</v>
      </c>
      <c r="C160" s="4" t="s">
        <v>787</v>
      </c>
      <c r="D160" s="1">
        <v>680.3</v>
      </c>
      <c r="E160" s="1">
        <v>0</v>
      </c>
      <c r="F160" s="1">
        <f t="shared" si="240"/>
        <v>680.3</v>
      </c>
      <c r="G160" s="1">
        <v>701</v>
      </c>
      <c r="H160" s="1">
        <v>0</v>
      </c>
      <c r="I160" s="1">
        <f t="shared" si="201"/>
        <v>701</v>
      </c>
      <c r="J160" s="1">
        <f t="shared" si="202"/>
        <v>683.7</v>
      </c>
      <c r="K160" s="1">
        <f>IF(ISNA(VLOOKUP($CZ160,'Audit Values'!$A$2:$AE$439,2,FALSE)),'Preliminary SO66'!B157,VLOOKUP($CZ160,'Audit Values'!$A$2:$AE$439,31,FALSE))</f>
        <v>683.7</v>
      </c>
      <c r="L160" s="1">
        <f t="shared" si="203"/>
        <v>701</v>
      </c>
      <c r="M160" s="1">
        <f>IF(ISNA(VLOOKUP($CZ160,'Audit Values'!$A$2:$AE$439,2,FALSE)),'Preliminary SO66'!Z157,VLOOKUP($CZ160,'Audit Values'!$A$2:$AE$439,26,FALSE))</f>
        <v>0</v>
      </c>
      <c r="N160" s="1">
        <f t="shared" si="204"/>
        <v>701</v>
      </c>
      <c r="O160" s="1">
        <f>IF(ISNA(VLOOKUP($CZ160,'Audit Values'!$A$2:$AE$439,2,FALSE)),'Preliminary SO66'!C157,IF(VLOOKUP($CZ160,'Audit Values'!$A$2:$AE$439,28,FALSE)="",VLOOKUP($CZ160,'Audit Values'!$A$2:$AE$439,3,FALSE),VLOOKUP($CZ160,'Audit Values'!$A$2:$AE$439,28,FALSE)))</f>
        <v>5.5</v>
      </c>
      <c r="P160" s="109">
        <f t="shared" si="205"/>
        <v>689.2</v>
      </c>
      <c r="Q160" s="110">
        <f t="shared" si="206"/>
        <v>689.2</v>
      </c>
      <c r="R160" s="111">
        <f t="shared" si="207"/>
        <v>689.2</v>
      </c>
      <c r="S160" s="1">
        <f t="shared" si="208"/>
        <v>706.5</v>
      </c>
      <c r="T160" s="1">
        <f t="shared" si="239"/>
        <v>0</v>
      </c>
      <c r="U160" s="1">
        <f t="shared" si="209"/>
        <v>244.5</v>
      </c>
      <c r="V160" s="1">
        <f t="shared" si="199"/>
        <v>244.5</v>
      </c>
      <c r="W160" s="1">
        <f t="shared" si="200"/>
        <v>0</v>
      </c>
      <c r="X160" s="1">
        <f>IF(ISNA(VLOOKUP($CZ160,'Audit Values'!$A$2:$AE$439,2,FALSE)),'Preliminary SO66'!D157,VLOOKUP($CZ160,'Audit Values'!$A$2:$AE$439,4,FALSE))</f>
        <v>257.10000000000002</v>
      </c>
      <c r="Y160" s="1">
        <f>ROUND((X160/6)*Weightings!$M$6,1)</f>
        <v>21.4</v>
      </c>
      <c r="Z160" s="1">
        <f>IF(ISNA(VLOOKUP($CZ160,'Audit Values'!$A$2:$AE$439,2,FALSE)),'Preliminary SO66'!F157,VLOOKUP($CZ160,'Audit Values'!$A$2:$AE$439,6,FALSE))</f>
        <v>0</v>
      </c>
      <c r="AA160" s="1">
        <f>ROUND((Z160/6)*Weightings!$M$7,1)</f>
        <v>0</v>
      </c>
      <c r="AB160" s="2">
        <f>IF(ISNA(VLOOKUP($CZ160,'Audit Values'!$A$2:$AE$439,2,FALSE)),'Preliminary SO66'!H157,VLOOKUP($CZ160,'Audit Values'!$A$2:$AE$439,8,FALSE))</f>
        <v>237</v>
      </c>
      <c r="AC160" s="1">
        <f>ROUND(AB160*Weightings!$M$8,1)</f>
        <v>108.1</v>
      </c>
      <c r="AD160" s="1">
        <f t="shared" si="197"/>
        <v>0</v>
      </c>
      <c r="AE160" s="185">
        <v>65</v>
      </c>
      <c r="AF160" s="1">
        <f>AE160*Weightings!$M$9</f>
        <v>3</v>
      </c>
      <c r="AG160" s="1">
        <f>IF(ISNA(VLOOKUP($CZ160,'Audit Values'!$A$2:$AE$439,2,FALSE)),'Preliminary SO66'!L157,VLOOKUP($CZ160,'Audit Values'!$A$2:$AE$439,12,FALSE))</f>
        <v>0</v>
      </c>
      <c r="AH160" s="1">
        <f>ROUND(AG160*Weightings!$M$10,1)</f>
        <v>0</v>
      </c>
      <c r="AI160" s="1">
        <f>IF(ISNA(VLOOKUP($CZ160,'Audit Values'!$A$2:$AE$439,2,FALSE)),'Preliminary SO66'!O157,VLOOKUP($CZ160,'Audit Values'!$A$2:$AE$439,15,FALSE))</f>
        <v>198.1</v>
      </c>
      <c r="AJ160" s="1">
        <f t="shared" si="210"/>
        <v>57.9</v>
      </c>
      <c r="AK160" s="1">
        <f>CC160/Weightings!$M$5</f>
        <v>0</v>
      </c>
      <c r="AL160" s="1">
        <f>CD160/Weightings!$M$5</f>
        <v>0</v>
      </c>
      <c r="AM160" s="1">
        <f>CH160/Weightings!$M$5</f>
        <v>0</v>
      </c>
      <c r="AN160" s="1">
        <f t="shared" si="211"/>
        <v>0</v>
      </c>
      <c r="AO160" s="1">
        <f>IF(ISNA(VLOOKUP($CZ160,'Audit Values'!$A$2:$AE$439,2,FALSE)),'Preliminary SO66'!X157,VLOOKUP($CZ160,'Audit Values'!$A$2:$AE$439,24,FALSE))</f>
        <v>0</v>
      </c>
      <c r="AP160" s="188">
        <v>750541</v>
      </c>
      <c r="AQ160" s="113">
        <f>AP160/Weightings!$M$5</f>
        <v>195.6</v>
      </c>
      <c r="AR160" s="113">
        <f t="shared" si="212"/>
        <v>1141.4000000000001</v>
      </c>
      <c r="AS160" s="1">
        <f t="shared" si="213"/>
        <v>1337</v>
      </c>
      <c r="AT160" s="1">
        <f t="shared" si="214"/>
        <v>1337</v>
      </c>
      <c r="AU160" s="2">
        <f t="shared" si="231"/>
        <v>0</v>
      </c>
      <c r="AV160" s="82">
        <f>IF(ISNA(VLOOKUP($CZ160,'Audit Values'!$A$2:$AC$360,2,FALSE)),"",IF(AND(Weightings!H160&gt;0,VLOOKUP($CZ160,'Audit Values'!$A$2:$AC$360,29,FALSE)&lt;Weightings!H160),Weightings!H160,VLOOKUP($CZ160,'Audit Values'!$A$2:$AC$360,29,FALSE)))</f>
        <v>21</v>
      </c>
      <c r="AW160" s="82" t="str">
        <f>IF(ISNA(VLOOKUP($CZ160,'Audit Values'!$A$2:$AD$360,2,FALSE)),"",VLOOKUP($CZ160,'Audit Values'!$A$2:$AD$360,30,FALSE))</f>
        <v>A</v>
      </c>
      <c r="AX160" s="82" t="str">
        <f>IF(Weightings!G160="","",IF(Weightings!I160="Pending","PX","R"))</f>
        <v/>
      </c>
      <c r="AY160" s="114">
        <f>AR160*Weightings!$M$5+AU160</f>
        <v>4380693</v>
      </c>
      <c r="AZ160" s="2">
        <f>AT160*Weightings!$M$5+AU160</f>
        <v>5131406</v>
      </c>
      <c r="BA160" s="2">
        <f>IF(Weightings!G160&gt;0,Weightings!G160,'Preliminary SO66'!AB157)</f>
        <v>5239254</v>
      </c>
      <c r="BB160" s="2">
        <f t="shared" si="215"/>
        <v>5131406</v>
      </c>
      <c r="BC160" s="124"/>
      <c r="BD160" s="124">
        <f>Weightings!E160</f>
        <v>-1100</v>
      </c>
      <c r="BE160" s="124">
        <f>Weightings!F160</f>
        <v>0</v>
      </c>
      <c r="BF160" s="2">
        <f t="shared" si="216"/>
        <v>-1100</v>
      </c>
      <c r="BG160" s="2">
        <f t="shared" si="217"/>
        <v>5130306</v>
      </c>
      <c r="BH160" s="2">
        <f>MAX(ROUND(((AR160-AO160)*4433)+AP160,0),ROUND(((AR160-AO160)*4433)+Weightings!B160,0))</f>
        <v>5923377</v>
      </c>
      <c r="BI160" s="174">
        <v>0.3</v>
      </c>
      <c r="BJ160" s="2">
        <f t="shared" si="191"/>
        <v>1777013</v>
      </c>
      <c r="BK160" s="173">
        <v>1792440</v>
      </c>
      <c r="BL160" s="2">
        <f t="shared" si="194"/>
        <v>1777013</v>
      </c>
      <c r="BM160" s="3">
        <f t="shared" si="232"/>
        <v>0.3</v>
      </c>
      <c r="BN160" s="1">
        <f t="shared" si="218"/>
        <v>0</v>
      </c>
      <c r="BO160" s="4" t="b">
        <f t="shared" si="219"/>
        <v>0</v>
      </c>
      <c r="BP160" s="5">
        <f t="shared" si="220"/>
        <v>0</v>
      </c>
      <c r="BQ160" s="6">
        <f t="shared" si="195"/>
        <v>0</v>
      </c>
      <c r="BR160" s="4">
        <f t="shared" si="221"/>
        <v>0</v>
      </c>
      <c r="BS160" s="4" t="b">
        <f t="shared" si="222"/>
        <v>1</v>
      </c>
      <c r="BT160" s="4">
        <f t="shared" si="223"/>
        <v>503.04379999999998</v>
      </c>
      <c r="BU160" s="6">
        <f t="shared" si="196"/>
        <v>0.346078</v>
      </c>
      <c r="BV160" s="1">
        <f t="shared" si="224"/>
        <v>244.5</v>
      </c>
      <c r="BW160" s="1">
        <f t="shared" si="225"/>
        <v>0</v>
      </c>
      <c r="BX160" s="116">
        <v>325</v>
      </c>
      <c r="BY160" s="7">
        <f t="shared" si="233"/>
        <v>0.61</v>
      </c>
      <c r="BZ160" s="7">
        <f>IF(ROUND((Weightings!$P$5*BY160^Weightings!$P$6*Weightings!$P$8 ),2)&lt;Weightings!$P$7,Weightings!$P$7,ROUND((Weightings!$P$5*BY160^Weightings!$P$6*Weightings!$P$8 ),2))</f>
        <v>1121.8599999999999</v>
      </c>
      <c r="CA160" s="8">
        <f>ROUND(BZ160/Weightings!$M$5,4)</f>
        <v>0.2923</v>
      </c>
      <c r="CB160" s="1">
        <f t="shared" si="234"/>
        <v>57.9</v>
      </c>
      <c r="CC160" s="173">
        <v>0</v>
      </c>
      <c r="CD160" s="173">
        <v>0</v>
      </c>
      <c r="CE160" s="173">
        <v>0</v>
      </c>
      <c r="CF160" s="177">
        <v>0</v>
      </c>
      <c r="CG160" s="2">
        <f>AS160*Weightings!$M$5*CF160</f>
        <v>0</v>
      </c>
      <c r="CH160" s="2">
        <f t="shared" si="198"/>
        <v>0</v>
      </c>
      <c r="CI160" s="117">
        <f t="shared" si="226"/>
        <v>0.33500000000000002</v>
      </c>
      <c r="CJ160" s="4">
        <f t="shared" si="227"/>
        <v>2.2000000000000002</v>
      </c>
      <c r="CK160" s="1">
        <f t="shared" si="235"/>
        <v>0</v>
      </c>
      <c r="CL160" s="1">
        <f t="shared" si="236"/>
        <v>0</v>
      </c>
      <c r="CM160" s="1">
        <f t="shared" si="237"/>
        <v>0</v>
      </c>
      <c r="CN160" s="1">
        <f>IF(ISNA(VLOOKUP($CZ160,'Audit Values'!$A$2:$AE$439,2,FALSE)),'Preliminary SO66'!T157,VLOOKUP($CZ160,'Audit Values'!$A$2:$AE$439,20,FALSE))</f>
        <v>0</v>
      </c>
      <c r="CO160" s="1">
        <f t="shared" si="228"/>
        <v>0</v>
      </c>
      <c r="CP160" s="183">
        <v>0</v>
      </c>
      <c r="CQ160" s="1">
        <f t="shared" si="229"/>
        <v>0</v>
      </c>
      <c r="CR160" s="2">
        <f>IF(ISNA(VLOOKUP($CZ160,'Audit Values'!$A$2:$AE$439,2,FALSE)),'Preliminary SO66'!V157,VLOOKUP($CZ160,'Audit Values'!$A$2:$AE$439,22,FALSE))</f>
        <v>0</v>
      </c>
      <c r="CS160" s="1">
        <f t="shared" si="230"/>
        <v>0</v>
      </c>
      <c r="CT160" s="2">
        <f>IF(ISNA(VLOOKUP($CZ160,'Audit Values'!$A$2:$AE$439,2,FALSE)),'Preliminary SO66'!W157,VLOOKUP($CZ160,'Audit Values'!$A$2:$AE$439,23,FALSE))</f>
        <v>0</v>
      </c>
      <c r="CU160" s="1">
        <f t="shared" si="241"/>
        <v>0</v>
      </c>
      <c r="CV160" s="1">
        <f t="shared" si="242"/>
        <v>0</v>
      </c>
      <c r="CW160" s="176">
        <v>0</v>
      </c>
      <c r="CX160" s="2">
        <f>IF(CW160&gt;0,Weightings!$M$11*AR160,0)</f>
        <v>0</v>
      </c>
      <c r="CY160" s="2">
        <f t="shared" si="238"/>
        <v>0</v>
      </c>
      <c r="CZ160" s="108" t="s">
        <v>452</v>
      </c>
    </row>
    <row r="161" spans="1:104">
      <c r="A161" s="82">
        <v>365</v>
      </c>
      <c r="B161" s="4" t="s">
        <v>73</v>
      </c>
      <c r="C161" s="4" t="s">
        <v>788</v>
      </c>
      <c r="D161" s="1">
        <v>1046.8</v>
      </c>
      <c r="E161" s="1">
        <v>0</v>
      </c>
      <c r="F161" s="1">
        <f t="shared" si="240"/>
        <v>1046.8</v>
      </c>
      <c r="G161" s="1">
        <v>1050</v>
      </c>
      <c r="H161" s="1">
        <v>0</v>
      </c>
      <c r="I161" s="1">
        <f t="shared" si="201"/>
        <v>1050</v>
      </c>
      <c r="J161" s="1">
        <f t="shared" si="202"/>
        <v>1070.5999999999999</v>
      </c>
      <c r="K161" s="1">
        <f>IF(ISNA(VLOOKUP($CZ161,'Audit Values'!$A$2:$AE$439,2,FALSE)),'Preliminary SO66'!B158,VLOOKUP($CZ161,'Audit Values'!$A$2:$AE$439,31,FALSE))</f>
        <v>1070.5999999999999</v>
      </c>
      <c r="L161" s="1">
        <f t="shared" si="203"/>
        <v>1070.5999999999999</v>
      </c>
      <c r="M161" s="1">
        <f>IF(ISNA(VLOOKUP($CZ161,'Audit Values'!$A$2:$AE$439,2,FALSE)),'Preliminary SO66'!Z158,VLOOKUP($CZ161,'Audit Values'!$A$2:$AE$439,26,FALSE))</f>
        <v>0</v>
      </c>
      <c r="N161" s="1">
        <f t="shared" si="204"/>
        <v>1070.5999999999999</v>
      </c>
      <c r="O161" s="1">
        <f>IF(ISNA(VLOOKUP($CZ161,'Audit Values'!$A$2:$AE$439,2,FALSE)),'Preliminary SO66'!C158,IF(VLOOKUP($CZ161,'Audit Values'!$A$2:$AE$439,28,FALSE)="",VLOOKUP($CZ161,'Audit Values'!$A$2:$AE$439,3,FALSE),VLOOKUP($CZ161,'Audit Values'!$A$2:$AE$439,28,FALSE)))</f>
        <v>0</v>
      </c>
      <c r="P161" s="109">
        <f t="shared" si="205"/>
        <v>1070.5999999999999</v>
      </c>
      <c r="Q161" s="110">
        <f t="shared" si="206"/>
        <v>1070.5999999999999</v>
      </c>
      <c r="R161" s="111">
        <f t="shared" si="207"/>
        <v>1070.5999999999999</v>
      </c>
      <c r="S161" s="1">
        <f t="shared" si="208"/>
        <v>1070.5999999999999</v>
      </c>
      <c r="T161" s="1">
        <f t="shared" si="239"/>
        <v>0</v>
      </c>
      <c r="U161" s="1">
        <f t="shared" si="209"/>
        <v>238.1</v>
      </c>
      <c r="V161" s="1">
        <f t="shared" si="199"/>
        <v>238.1</v>
      </c>
      <c r="W161" s="1">
        <f t="shared" si="200"/>
        <v>0</v>
      </c>
      <c r="X161" s="1">
        <f>IF(ISNA(VLOOKUP($CZ161,'Audit Values'!$A$2:$AE$439,2,FALSE)),'Preliminary SO66'!D158,VLOOKUP($CZ161,'Audit Values'!$A$2:$AE$439,4,FALSE))</f>
        <v>310.10000000000002</v>
      </c>
      <c r="Y161" s="1">
        <f>ROUND((X161/6)*Weightings!$M$6,1)</f>
        <v>25.8</v>
      </c>
      <c r="Z161" s="1">
        <f>IF(ISNA(VLOOKUP($CZ161,'Audit Values'!$A$2:$AE$439,2,FALSE)),'Preliminary SO66'!F158,VLOOKUP($CZ161,'Audit Values'!$A$2:$AE$439,6,FALSE))</f>
        <v>0</v>
      </c>
      <c r="AA161" s="1">
        <f>ROUND((Z161/6)*Weightings!$M$7,1)</f>
        <v>0</v>
      </c>
      <c r="AB161" s="2">
        <f>IF(ISNA(VLOOKUP($CZ161,'Audit Values'!$A$2:$AE$439,2,FALSE)),'Preliminary SO66'!H158,VLOOKUP($CZ161,'Audit Values'!$A$2:$AE$439,8,FALSE))</f>
        <v>458</v>
      </c>
      <c r="AC161" s="1">
        <f>ROUND(AB161*Weightings!$M$8,1)</f>
        <v>208.8</v>
      </c>
      <c r="AD161" s="1">
        <f t="shared" si="197"/>
        <v>25</v>
      </c>
      <c r="AE161" s="185">
        <v>56</v>
      </c>
      <c r="AF161" s="1">
        <f>AE161*Weightings!$M$9</f>
        <v>2.6</v>
      </c>
      <c r="AG161" s="1">
        <f>IF(ISNA(VLOOKUP($CZ161,'Audit Values'!$A$2:$AE$439,2,FALSE)),'Preliminary SO66'!L158,VLOOKUP($CZ161,'Audit Values'!$A$2:$AE$439,12,FALSE))</f>
        <v>430</v>
      </c>
      <c r="AH161" s="1">
        <f>ROUND(AG161*Weightings!$M$10,1)</f>
        <v>107.5</v>
      </c>
      <c r="AI161" s="1">
        <f>IF(ISNA(VLOOKUP($CZ161,'Audit Values'!$A$2:$AE$439,2,FALSE)),'Preliminary SO66'!O158,VLOOKUP($CZ161,'Audit Values'!$A$2:$AE$439,15,FALSE))</f>
        <v>394.2</v>
      </c>
      <c r="AJ161" s="1">
        <f t="shared" si="210"/>
        <v>104.9</v>
      </c>
      <c r="AK161" s="1">
        <f>CC161/Weightings!$M$5</f>
        <v>0</v>
      </c>
      <c r="AL161" s="1">
        <f>CD161/Weightings!$M$5</f>
        <v>0</v>
      </c>
      <c r="AM161" s="1">
        <f>CH161/Weightings!$M$5</f>
        <v>0</v>
      </c>
      <c r="AN161" s="1">
        <f t="shared" si="211"/>
        <v>0</v>
      </c>
      <c r="AO161" s="1">
        <f>IF(ISNA(VLOOKUP($CZ161,'Audit Values'!$A$2:$AE$439,2,FALSE)),'Preliminary SO66'!X158,VLOOKUP($CZ161,'Audit Values'!$A$2:$AE$439,24,FALSE))</f>
        <v>0</v>
      </c>
      <c r="AP161" s="188">
        <v>1142458</v>
      </c>
      <c r="AQ161" s="113">
        <f>AP161/Weightings!$M$5</f>
        <v>297.7</v>
      </c>
      <c r="AR161" s="113">
        <f t="shared" si="212"/>
        <v>1783.3</v>
      </c>
      <c r="AS161" s="1">
        <f t="shared" si="213"/>
        <v>2081</v>
      </c>
      <c r="AT161" s="1">
        <f t="shared" si="214"/>
        <v>2081</v>
      </c>
      <c r="AU161" s="2">
        <f t="shared" si="231"/>
        <v>0</v>
      </c>
      <c r="AV161" s="82">
        <f>IF(ISNA(VLOOKUP($CZ161,'Audit Values'!$A$2:$AC$360,2,FALSE)),"",IF(AND(Weightings!H161&gt;0,VLOOKUP($CZ161,'Audit Values'!$A$2:$AC$360,29,FALSE)&lt;Weightings!H161),Weightings!H161,VLOOKUP($CZ161,'Audit Values'!$A$2:$AC$360,29,FALSE)))</f>
        <v>27</v>
      </c>
      <c r="AW161" s="82" t="str">
        <f>IF(ISNA(VLOOKUP($CZ161,'Audit Values'!$A$2:$AD$360,2,FALSE)),"",VLOOKUP($CZ161,'Audit Values'!$A$2:$AD$360,30,FALSE))</f>
        <v>A</v>
      </c>
      <c r="AX161" s="82" t="str">
        <f>IF(Weightings!G161="","",IF(Weightings!I161="Pending","PX","R"))</f>
        <v>R</v>
      </c>
      <c r="AY161" s="114">
        <f>AR161*Weightings!$M$5+AU161</f>
        <v>6844305</v>
      </c>
      <c r="AZ161" s="2">
        <f>AT161*Weightings!$M$5+AU161</f>
        <v>7986878</v>
      </c>
      <c r="BA161" s="2">
        <f>IF(Weightings!G161&gt;0,Weightings!G161,'Preliminary SO66'!AB158)</f>
        <v>8055194</v>
      </c>
      <c r="BB161" s="2">
        <f t="shared" si="215"/>
        <v>7986878</v>
      </c>
      <c r="BC161" s="124"/>
      <c r="BD161" s="124">
        <f>Weightings!E161</f>
        <v>0</v>
      </c>
      <c r="BE161" s="124">
        <f>Weightings!F161</f>
        <v>0</v>
      </c>
      <c r="BF161" s="2">
        <f t="shared" si="216"/>
        <v>0</v>
      </c>
      <c r="BG161" s="2">
        <f t="shared" si="217"/>
        <v>7986878</v>
      </c>
      <c r="BH161" s="2">
        <f>MAX(ROUND(((AR161-AO161)*4433)+AP161,0),ROUND(((AR161-AO161)*4433)+Weightings!B161,0))</f>
        <v>9047827</v>
      </c>
      <c r="BI161" s="174">
        <v>0.3</v>
      </c>
      <c r="BJ161" s="2">
        <f t="shared" si="191"/>
        <v>2714348</v>
      </c>
      <c r="BK161" s="173">
        <v>2420000</v>
      </c>
      <c r="BL161" s="2">
        <f t="shared" si="194"/>
        <v>2420000</v>
      </c>
      <c r="BM161" s="3">
        <f t="shared" si="232"/>
        <v>0.26750000000000002</v>
      </c>
      <c r="BN161" s="1">
        <f t="shared" si="218"/>
        <v>0</v>
      </c>
      <c r="BO161" s="4" t="b">
        <f t="shared" si="219"/>
        <v>0</v>
      </c>
      <c r="BP161" s="5">
        <f t="shared" si="220"/>
        <v>0</v>
      </c>
      <c r="BQ161" s="6">
        <f t="shared" si="195"/>
        <v>0</v>
      </c>
      <c r="BR161" s="4">
        <f t="shared" si="221"/>
        <v>0</v>
      </c>
      <c r="BS161" s="4" t="b">
        <f t="shared" si="222"/>
        <v>1</v>
      </c>
      <c r="BT161" s="4">
        <f t="shared" si="223"/>
        <v>953.61749999999995</v>
      </c>
      <c r="BU161" s="6">
        <f t="shared" si="196"/>
        <v>0.22237599999999999</v>
      </c>
      <c r="BV161" s="1">
        <f t="shared" si="224"/>
        <v>238.1</v>
      </c>
      <c r="BW161" s="1">
        <f t="shared" si="225"/>
        <v>0</v>
      </c>
      <c r="BX161" s="116">
        <v>430</v>
      </c>
      <c r="BY161" s="7">
        <f t="shared" si="233"/>
        <v>0.92</v>
      </c>
      <c r="BZ161" s="7">
        <f>IF(ROUND((Weightings!$P$5*BY161^Weightings!$P$6*Weightings!$P$8 ),2)&lt;Weightings!$P$7,Weightings!$P$7,ROUND((Weightings!$P$5*BY161^Weightings!$P$6*Weightings!$P$8 ),2))</f>
        <v>1021.49</v>
      </c>
      <c r="CA161" s="8">
        <f>ROUND(BZ161/Weightings!$M$5,4)</f>
        <v>0.26619999999999999</v>
      </c>
      <c r="CB161" s="1">
        <f t="shared" si="234"/>
        <v>104.9</v>
      </c>
      <c r="CC161" s="173">
        <v>0</v>
      </c>
      <c r="CD161" s="173">
        <v>0</v>
      </c>
      <c r="CE161" s="173">
        <v>0</v>
      </c>
      <c r="CF161" s="177">
        <v>0</v>
      </c>
      <c r="CG161" s="2">
        <f>AS161*Weightings!$M$5*CF161</f>
        <v>0</v>
      </c>
      <c r="CH161" s="2">
        <f t="shared" si="198"/>
        <v>0</v>
      </c>
      <c r="CI161" s="117">
        <f t="shared" si="226"/>
        <v>0.42799999999999999</v>
      </c>
      <c r="CJ161" s="4">
        <f t="shared" si="227"/>
        <v>2.5</v>
      </c>
      <c r="CK161" s="1">
        <f t="shared" si="235"/>
        <v>0</v>
      </c>
      <c r="CL161" s="1">
        <f t="shared" si="236"/>
        <v>0</v>
      </c>
      <c r="CM161" s="1">
        <f t="shared" si="237"/>
        <v>25</v>
      </c>
      <c r="CN161" s="1">
        <f>IF(ISNA(VLOOKUP($CZ161,'Audit Values'!$A$2:$AE$439,2,FALSE)),'Preliminary SO66'!T158,VLOOKUP($CZ161,'Audit Values'!$A$2:$AE$439,20,FALSE))</f>
        <v>0</v>
      </c>
      <c r="CO161" s="1">
        <f t="shared" si="228"/>
        <v>0</v>
      </c>
      <c r="CP161" s="183">
        <v>0</v>
      </c>
      <c r="CQ161" s="1">
        <f t="shared" si="229"/>
        <v>0</v>
      </c>
      <c r="CR161" s="2">
        <f>IF(ISNA(VLOOKUP($CZ161,'Audit Values'!$A$2:$AE$439,2,FALSE)),'Preliminary SO66'!V158,VLOOKUP($CZ161,'Audit Values'!$A$2:$AE$439,22,FALSE))</f>
        <v>0</v>
      </c>
      <c r="CS161" s="1">
        <f t="shared" si="230"/>
        <v>0</v>
      </c>
      <c r="CT161" s="2">
        <f>IF(ISNA(VLOOKUP($CZ161,'Audit Values'!$A$2:$AE$439,2,FALSE)),'Preliminary SO66'!W158,VLOOKUP($CZ161,'Audit Values'!$A$2:$AE$439,23,FALSE))</f>
        <v>0</v>
      </c>
      <c r="CU161" s="1">
        <f t="shared" si="241"/>
        <v>0</v>
      </c>
      <c r="CV161" s="1">
        <f t="shared" si="242"/>
        <v>0</v>
      </c>
      <c r="CW161" s="176">
        <v>0</v>
      </c>
      <c r="CX161" s="2">
        <f>IF(CW161&gt;0,Weightings!$M$11*AR161,0)</f>
        <v>0</v>
      </c>
      <c r="CY161" s="2">
        <f t="shared" si="238"/>
        <v>0</v>
      </c>
      <c r="CZ161" s="108" t="s">
        <v>453</v>
      </c>
    </row>
    <row r="162" spans="1:104">
      <c r="A162" s="82">
        <v>366</v>
      </c>
      <c r="B162" s="4" t="s">
        <v>74</v>
      </c>
      <c r="C162" s="4" t="s">
        <v>789</v>
      </c>
      <c r="D162" s="1">
        <v>431.5</v>
      </c>
      <c r="E162" s="1">
        <v>0</v>
      </c>
      <c r="F162" s="1">
        <f t="shared" si="240"/>
        <v>431.5</v>
      </c>
      <c r="G162" s="1">
        <v>445.5</v>
      </c>
      <c r="H162" s="1">
        <v>0</v>
      </c>
      <c r="I162" s="1">
        <f t="shared" si="201"/>
        <v>445.5</v>
      </c>
      <c r="J162" s="1">
        <f t="shared" si="202"/>
        <v>437.5</v>
      </c>
      <c r="K162" s="1">
        <f>IF(ISNA(VLOOKUP($CZ162,'Audit Values'!$A$2:$AE$439,2,FALSE)),'Preliminary SO66'!B159,VLOOKUP($CZ162,'Audit Values'!$A$2:$AE$439,31,FALSE))</f>
        <v>437.5</v>
      </c>
      <c r="L162" s="1">
        <f t="shared" si="203"/>
        <v>445.5</v>
      </c>
      <c r="M162" s="1">
        <f>IF(ISNA(VLOOKUP($CZ162,'Audit Values'!$A$2:$AE$439,2,FALSE)),'Preliminary SO66'!Z159,VLOOKUP($CZ162,'Audit Values'!$A$2:$AE$439,26,FALSE))</f>
        <v>0</v>
      </c>
      <c r="N162" s="1">
        <f t="shared" si="204"/>
        <v>445.5</v>
      </c>
      <c r="O162" s="1">
        <f>IF(ISNA(VLOOKUP($CZ162,'Audit Values'!$A$2:$AE$439,2,FALSE)),'Preliminary SO66'!C159,IF(VLOOKUP($CZ162,'Audit Values'!$A$2:$AE$439,28,FALSE)="",VLOOKUP($CZ162,'Audit Values'!$A$2:$AE$439,3,FALSE),VLOOKUP($CZ162,'Audit Values'!$A$2:$AE$439,28,FALSE)))</f>
        <v>6.5</v>
      </c>
      <c r="P162" s="109">
        <f t="shared" si="205"/>
        <v>444</v>
      </c>
      <c r="Q162" s="110">
        <f t="shared" si="206"/>
        <v>444</v>
      </c>
      <c r="R162" s="111">
        <f t="shared" si="207"/>
        <v>444</v>
      </c>
      <c r="S162" s="1">
        <f t="shared" si="208"/>
        <v>452</v>
      </c>
      <c r="T162" s="1">
        <f t="shared" si="239"/>
        <v>0</v>
      </c>
      <c r="U162" s="1">
        <f t="shared" si="209"/>
        <v>195.5</v>
      </c>
      <c r="V162" s="1">
        <f t="shared" si="199"/>
        <v>195.5</v>
      </c>
      <c r="W162" s="1">
        <f t="shared" si="200"/>
        <v>0</v>
      </c>
      <c r="X162" s="1">
        <f>IF(ISNA(VLOOKUP($CZ162,'Audit Values'!$A$2:$AE$439,2,FALSE)),'Preliminary SO66'!D159,VLOOKUP($CZ162,'Audit Values'!$A$2:$AE$439,4,FALSE))</f>
        <v>104.2</v>
      </c>
      <c r="Y162" s="1">
        <f>ROUND((X162/6)*Weightings!$M$6,1)</f>
        <v>8.6999999999999993</v>
      </c>
      <c r="Z162" s="1">
        <f>IF(ISNA(VLOOKUP($CZ162,'Audit Values'!$A$2:$AE$439,2,FALSE)),'Preliminary SO66'!F159,VLOOKUP($CZ162,'Audit Values'!$A$2:$AE$439,6,FALSE))</f>
        <v>0</v>
      </c>
      <c r="AA162" s="1">
        <f>ROUND((Z162/6)*Weightings!$M$7,1)</f>
        <v>0</v>
      </c>
      <c r="AB162" s="2">
        <f>IF(ISNA(VLOOKUP($CZ162,'Audit Values'!$A$2:$AE$439,2,FALSE)),'Preliminary SO66'!H159,VLOOKUP($CZ162,'Audit Values'!$A$2:$AE$439,8,FALSE))</f>
        <v>197</v>
      </c>
      <c r="AC162" s="1">
        <f>ROUND(AB162*Weightings!$M$8,1)</f>
        <v>89.8</v>
      </c>
      <c r="AD162" s="1">
        <f t="shared" si="197"/>
        <v>11.9</v>
      </c>
      <c r="AE162" s="185">
        <v>23</v>
      </c>
      <c r="AF162" s="1">
        <f>AE162*Weightings!$M$9</f>
        <v>1.1000000000000001</v>
      </c>
      <c r="AG162" s="1">
        <f>IF(ISNA(VLOOKUP($CZ162,'Audit Values'!$A$2:$AE$439,2,FALSE)),'Preliminary SO66'!L159,VLOOKUP($CZ162,'Audit Values'!$A$2:$AE$439,12,FALSE))</f>
        <v>0</v>
      </c>
      <c r="AH162" s="1">
        <f>ROUND(AG162*Weightings!$M$10,1)</f>
        <v>0</v>
      </c>
      <c r="AI162" s="1">
        <f>IF(ISNA(VLOOKUP($CZ162,'Audit Values'!$A$2:$AE$439,2,FALSE)),'Preliminary SO66'!O159,VLOOKUP($CZ162,'Audit Values'!$A$2:$AE$439,15,FALSE))</f>
        <v>177</v>
      </c>
      <c r="AJ162" s="1">
        <f t="shared" si="210"/>
        <v>56.3</v>
      </c>
      <c r="AK162" s="1">
        <f>CC162/Weightings!$M$5</f>
        <v>0</v>
      </c>
      <c r="AL162" s="1">
        <f>CD162/Weightings!$M$5</f>
        <v>0</v>
      </c>
      <c r="AM162" s="1">
        <f>CH162/Weightings!$M$5</f>
        <v>0</v>
      </c>
      <c r="AN162" s="1">
        <f t="shared" si="211"/>
        <v>0</v>
      </c>
      <c r="AO162" s="1">
        <f>IF(ISNA(VLOOKUP($CZ162,'Audit Values'!$A$2:$AE$439,2,FALSE)),'Preliminary SO66'!X159,VLOOKUP($CZ162,'Audit Values'!$A$2:$AE$439,24,FALSE))</f>
        <v>0</v>
      </c>
      <c r="AP162" s="188">
        <v>575968.00000000012</v>
      </c>
      <c r="AQ162" s="113">
        <f>AP162/Weightings!$M$5</f>
        <v>150.1</v>
      </c>
      <c r="AR162" s="113">
        <f t="shared" si="212"/>
        <v>815.3</v>
      </c>
      <c r="AS162" s="1">
        <f t="shared" si="213"/>
        <v>965.4</v>
      </c>
      <c r="AT162" s="1">
        <f t="shared" si="214"/>
        <v>965.4</v>
      </c>
      <c r="AU162" s="2">
        <f t="shared" si="231"/>
        <v>0</v>
      </c>
      <c r="AV162" s="82">
        <f>IF(ISNA(VLOOKUP($CZ162,'Audit Values'!$A$2:$AC$360,2,FALSE)),"",IF(AND(Weightings!H162&gt;0,VLOOKUP($CZ162,'Audit Values'!$A$2:$AC$360,29,FALSE)&lt;Weightings!H162),Weightings!H162,VLOOKUP($CZ162,'Audit Values'!$A$2:$AC$360,29,FALSE)))</f>
        <v>24</v>
      </c>
      <c r="AW162" s="82" t="str">
        <f>IF(ISNA(VLOOKUP($CZ162,'Audit Values'!$A$2:$AD$360,2,FALSE)),"",VLOOKUP($CZ162,'Audit Values'!$A$2:$AD$360,30,FALSE))</f>
        <v>A</v>
      </c>
      <c r="AX162" s="82" t="str">
        <f>IF(Weightings!G162="","",IF(Weightings!I162="Pending","PX","R"))</f>
        <v/>
      </c>
      <c r="AY162" s="114">
        <f>AR162*Weightings!$M$5+AU162</f>
        <v>3129121</v>
      </c>
      <c r="AZ162" s="2">
        <f>AT162*Weightings!$M$5+AU162</f>
        <v>3705205</v>
      </c>
      <c r="BA162" s="2">
        <f>IF(Weightings!G162&gt;0,Weightings!G162,'Preliminary SO66'!AB159)</f>
        <v>3913225</v>
      </c>
      <c r="BB162" s="2">
        <f t="shared" si="215"/>
        <v>3705205</v>
      </c>
      <c r="BC162" s="124"/>
      <c r="BD162" s="124">
        <f>Weightings!E162</f>
        <v>0</v>
      </c>
      <c r="BE162" s="124">
        <f>Weightings!F162</f>
        <v>0</v>
      </c>
      <c r="BF162" s="2">
        <f t="shared" si="216"/>
        <v>0</v>
      </c>
      <c r="BG162" s="2">
        <f t="shared" si="217"/>
        <v>3705205</v>
      </c>
      <c r="BH162" s="2">
        <f>MAX(ROUND(((AR162-AO162)*4433)+AP162,0),ROUND(((AR162-AO162)*4433)+Weightings!B162,0))</f>
        <v>4190193</v>
      </c>
      <c r="BI162" s="174">
        <v>0.3</v>
      </c>
      <c r="BJ162" s="2">
        <f t="shared" si="191"/>
        <v>1257058</v>
      </c>
      <c r="BK162" s="173">
        <v>1205000</v>
      </c>
      <c r="BL162" s="2">
        <f t="shared" si="194"/>
        <v>1205000</v>
      </c>
      <c r="BM162" s="3">
        <f t="shared" si="232"/>
        <v>0.28760000000000002</v>
      </c>
      <c r="BN162" s="1">
        <f t="shared" si="218"/>
        <v>0</v>
      </c>
      <c r="BO162" s="4" t="b">
        <f t="shared" si="219"/>
        <v>0</v>
      </c>
      <c r="BP162" s="5">
        <f t="shared" si="220"/>
        <v>0</v>
      </c>
      <c r="BQ162" s="6">
        <f t="shared" si="195"/>
        <v>0</v>
      </c>
      <c r="BR162" s="4">
        <f t="shared" si="221"/>
        <v>0</v>
      </c>
      <c r="BS162" s="4" t="b">
        <f t="shared" si="222"/>
        <v>1</v>
      </c>
      <c r="BT162" s="4">
        <f t="shared" si="223"/>
        <v>188.1</v>
      </c>
      <c r="BU162" s="6">
        <f t="shared" si="196"/>
        <v>0.43254399999999998</v>
      </c>
      <c r="BV162" s="1">
        <f t="shared" si="224"/>
        <v>195.5</v>
      </c>
      <c r="BW162" s="1">
        <f t="shared" si="225"/>
        <v>0</v>
      </c>
      <c r="BX162" s="116">
        <v>422</v>
      </c>
      <c r="BY162" s="7">
        <f t="shared" si="233"/>
        <v>0.42</v>
      </c>
      <c r="BZ162" s="7">
        <f>IF(ROUND((Weightings!$P$5*BY162^Weightings!$P$6*Weightings!$P$8 ),2)&lt;Weightings!$P$7,Weightings!$P$7,ROUND((Weightings!$P$5*BY162^Weightings!$P$6*Weightings!$P$8 ),2))</f>
        <v>1221.55</v>
      </c>
      <c r="CA162" s="8">
        <f>ROUND(BZ162/Weightings!$M$5,4)</f>
        <v>0.31830000000000003</v>
      </c>
      <c r="CB162" s="1">
        <f t="shared" si="234"/>
        <v>56.3</v>
      </c>
      <c r="CC162" s="173">
        <v>0</v>
      </c>
      <c r="CD162" s="173">
        <v>0</v>
      </c>
      <c r="CE162" s="173">
        <v>0</v>
      </c>
      <c r="CF162" s="177">
        <v>0</v>
      </c>
      <c r="CG162" s="2">
        <f>AS162*Weightings!$M$5*CF162</f>
        <v>0</v>
      </c>
      <c r="CH162" s="2">
        <f t="shared" si="198"/>
        <v>0</v>
      </c>
      <c r="CI162" s="117">
        <f t="shared" si="226"/>
        <v>0.436</v>
      </c>
      <c r="CJ162" s="4">
        <f t="shared" si="227"/>
        <v>1.1000000000000001</v>
      </c>
      <c r="CK162" s="1">
        <f t="shared" si="235"/>
        <v>0</v>
      </c>
      <c r="CL162" s="1">
        <f t="shared" si="236"/>
        <v>0</v>
      </c>
      <c r="CM162" s="1">
        <f t="shared" si="237"/>
        <v>11.9</v>
      </c>
      <c r="CN162" s="1">
        <f>IF(ISNA(VLOOKUP($CZ162,'Audit Values'!$A$2:$AE$439,2,FALSE)),'Preliminary SO66'!T159,VLOOKUP($CZ162,'Audit Values'!$A$2:$AE$439,20,FALSE))</f>
        <v>0</v>
      </c>
      <c r="CO162" s="1">
        <f t="shared" si="228"/>
        <v>0</v>
      </c>
      <c r="CP162" s="183">
        <v>0</v>
      </c>
      <c r="CQ162" s="1">
        <f t="shared" si="229"/>
        <v>0</v>
      </c>
      <c r="CR162" s="2">
        <f>IF(ISNA(VLOOKUP($CZ162,'Audit Values'!$A$2:$AE$439,2,FALSE)),'Preliminary SO66'!V159,VLOOKUP($CZ162,'Audit Values'!$A$2:$AE$439,22,FALSE))</f>
        <v>0</v>
      </c>
      <c r="CS162" s="1">
        <f t="shared" si="230"/>
        <v>0</v>
      </c>
      <c r="CT162" s="2">
        <f>IF(ISNA(VLOOKUP($CZ162,'Audit Values'!$A$2:$AE$439,2,FALSE)),'Preliminary SO66'!W159,VLOOKUP($CZ162,'Audit Values'!$A$2:$AE$439,23,FALSE))</f>
        <v>0</v>
      </c>
      <c r="CU162" s="1">
        <f t="shared" si="241"/>
        <v>0</v>
      </c>
      <c r="CV162" s="1">
        <f t="shared" si="242"/>
        <v>0</v>
      </c>
      <c r="CW162" s="176">
        <v>0</v>
      </c>
      <c r="CX162" s="2">
        <f>IF(CW162&gt;0,Weightings!$M$11*AR162,0)</f>
        <v>0</v>
      </c>
      <c r="CY162" s="2">
        <f t="shared" si="238"/>
        <v>0</v>
      </c>
      <c r="CZ162" s="108" t="s">
        <v>454</v>
      </c>
    </row>
    <row r="163" spans="1:104">
      <c r="A163" s="82">
        <v>367</v>
      </c>
      <c r="B163" s="4" t="s">
        <v>75</v>
      </c>
      <c r="C163" s="4" t="s">
        <v>790</v>
      </c>
      <c r="D163" s="1">
        <v>1089.2</v>
      </c>
      <c r="E163" s="1">
        <v>0</v>
      </c>
      <c r="F163" s="1">
        <f t="shared" si="240"/>
        <v>1089.2</v>
      </c>
      <c r="G163" s="1">
        <v>1089</v>
      </c>
      <c r="H163" s="1">
        <v>0</v>
      </c>
      <c r="I163" s="1">
        <f t="shared" si="201"/>
        <v>1089</v>
      </c>
      <c r="J163" s="1">
        <f t="shared" si="202"/>
        <v>1131</v>
      </c>
      <c r="K163" s="1">
        <f>IF(ISNA(VLOOKUP($CZ163,'Audit Values'!$A$2:$AE$439,2,FALSE)),'Preliminary SO66'!B160,VLOOKUP($CZ163,'Audit Values'!$A$2:$AE$439,31,FALSE))</f>
        <v>1131</v>
      </c>
      <c r="L163" s="1">
        <f t="shared" si="203"/>
        <v>1131</v>
      </c>
      <c r="M163" s="1">
        <f>IF(ISNA(VLOOKUP($CZ163,'Audit Values'!$A$2:$AE$439,2,FALSE)),'Preliminary SO66'!Z160,VLOOKUP($CZ163,'Audit Values'!$A$2:$AE$439,26,FALSE))</f>
        <v>0</v>
      </c>
      <c r="N163" s="1">
        <f t="shared" si="204"/>
        <v>1131</v>
      </c>
      <c r="O163" s="1">
        <f>IF(ISNA(VLOOKUP($CZ163,'Audit Values'!$A$2:$AE$439,2,FALSE)),'Preliminary SO66'!C160,IF(VLOOKUP($CZ163,'Audit Values'!$A$2:$AE$439,28,FALSE)="",VLOOKUP($CZ163,'Audit Values'!$A$2:$AE$439,3,FALSE),VLOOKUP($CZ163,'Audit Values'!$A$2:$AE$439,28,FALSE)))</f>
        <v>12</v>
      </c>
      <c r="P163" s="109">
        <f t="shared" si="205"/>
        <v>1143</v>
      </c>
      <c r="Q163" s="110">
        <f t="shared" si="206"/>
        <v>1143</v>
      </c>
      <c r="R163" s="111">
        <f t="shared" si="207"/>
        <v>1143</v>
      </c>
      <c r="S163" s="1">
        <f t="shared" si="208"/>
        <v>1143</v>
      </c>
      <c r="T163" s="1">
        <f t="shared" si="239"/>
        <v>0</v>
      </c>
      <c r="U163" s="1">
        <f t="shared" si="209"/>
        <v>226.1</v>
      </c>
      <c r="V163" s="1">
        <f t="shared" si="199"/>
        <v>226.1</v>
      </c>
      <c r="W163" s="1">
        <f t="shared" si="200"/>
        <v>0</v>
      </c>
      <c r="X163" s="1">
        <f>IF(ISNA(VLOOKUP($CZ163,'Audit Values'!$A$2:$AE$439,2,FALSE)),'Preliminary SO66'!D160,VLOOKUP($CZ163,'Audit Values'!$A$2:$AE$439,4,FALSE))</f>
        <v>272.10000000000002</v>
      </c>
      <c r="Y163" s="1">
        <f>ROUND((X163/6)*Weightings!$M$6,1)</f>
        <v>22.7</v>
      </c>
      <c r="Z163" s="1">
        <f>IF(ISNA(VLOOKUP($CZ163,'Audit Values'!$A$2:$AE$439,2,FALSE)),'Preliminary SO66'!F160,VLOOKUP($CZ163,'Audit Values'!$A$2:$AE$439,6,FALSE))</f>
        <v>0</v>
      </c>
      <c r="AA163" s="1">
        <f>ROUND((Z163/6)*Weightings!$M$7,1)</f>
        <v>0</v>
      </c>
      <c r="AB163" s="2">
        <f>IF(ISNA(VLOOKUP($CZ163,'Audit Values'!$A$2:$AE$439,2,FALSE)),'Preliminary SO66'!H160,VLOOKUP($CZ163,'Audit Values'!$A$2:$AE$439,8,FALSE))</f>
        <v>671</v>
      </c>
      <c r="AC163" s="1">
        <f>ROUND(AB163*Weightings!$M$8,1)</f>
        <v>306</v>
      </c>
      <c r="AD163" s="1">
        <f t="shared" si="197"/>
        <v>70.5</v>
      </c>
      <c r="AE163" s="185">
        <v>52</v>
      </c>
      <c r="AF163" s="1">
        <f>AE163*Weightings!$M$9</f>
        <v>2.4</v>
      </c>
      <c r="AG163" s="1">
        <f>IF(ISNA(VLOOKUP($CZ163,'Audit Values'!$A$2:$AE$439,2,FALSE)),'Preliminary SO66'!L160,VLOOKUP($CZ163,'Audit Values'!$A$2:$AE$439,12,FALSE))</f>
        <v>0</v>
      </c>
      <c r="AH163" s="1">
        <f>ROUND(AG163*Weightings!$M$10,1)</f>
        <v>0</v>
      </c>
      <c r="AI163" s="1">
        <f>IF(ISNA(VLOOKUP($CZ163,'Audit Values'!$A$2:$AE$439,2,FALSE)),'Preliminary SO66'!O160,VLOOKUP($CZ163,'Audit Values'!$A$2:$AE$439,15,FALSE))</f>
        <v>222</v>
      </c>
      <c r="AJ163" s="1">
        <f t="shared" si="210"/>
        <v>48.6</v>
      </c>
      <c r="AK163" s="1">
        <f>CC163/Weightings!$M$5</f>
        <v>0</v>
      </c>
      <c r="AL163" s="1">
        <f>CD163/Weightings!$M$5</f>
        <v>0</v>
      </c>
      <c r="AM163" s="1">
        <f>CH163/Weightings!$M$5</f>
        <v>0</v>
      </c>
      <c r="AN163" s="1">
        <f t="shared" si="211"/>
        <v>0</v>
      </c>
      <c r="AO163" s="1">
        <f>IF(ISNA(VLOOKUP($CZ163,'Audit Values'!$A$2:$AE$439,2,FALSE)),'Preliminary SO66'!X160,VLOOKUP($CZ163,'Audit Values'!$A$2:$AE$439,24,FALSE))</f>
        <v>0</v>
      </c>
      <c r="AP163" s="188">
        <v>1703154</v>
      </c>
      <c r="AQ163" s="113">
        <f>AP163/Weightings!$M$5</f>
        <v>443.8</v>
      </c>
      <c r="AR163" s="113">
        <f t="shared" si="212"/>
        <v>1819.3</v>
      </c>
      <c r="AS163" s="1">
        <f t="shared" si="213"/>
        <v>2263.1</v>
      </c>
      <c r="AT163" s="1">
        <f t="shared" si="214"/>
        <v>2263.1</v>
      </c>
      <c r="AU163" s="2">
        <f t="shared" si="231"/>
        <v>0</v>
      </c>
      <c r="AV163" s="82">
        <f>IF(ISNA(VLOOKUP($CZ163,'Audit Values'!$A$2:$AC$360,2,FALSE)),"",IF(AND(Weightings!H163&gt;0,VLOOKUP($CZ163,'Audit Values'!$A$2:$AC$360,29,FALSE)&lt;Weightings!H163),Weightings!H163,VLOOKUP($CZ163,'Audit Values'!$A$2:$AC$360,29,FALSE)))</f>
        <v>11</v>
      </c>
      <c r="AW163" s="82" t="str">
        <f>IF(ISNA(VLOOKUP($CZ163,'Audit Values'!$A$2:$AD$360,2,FALSE)),"",VLOOKUP($CZ163,'Audit Values'!$A$2:$AD$360,30,FALSE))</f>
        <v>A</v>
      </c>
      <c r="AX163" s="82" t="str">
        <f>IF(Weightings!G163="","",IF(Weightings!I163="Pending","PX","R"))</f>
        <v>R</v>
      </c>
      <c r="AY163" s="114">
        <f>AR163*Weightings!$M$5+AU163</f>
        <v>6982473</v>
      </c>
      <c r="AZ163" s="2">
        <f>AT163*Weightings!$M$5+AU163</f>
        <v>8685778</v>
      </c>
      <c r="BA163" s="2">
        <f>IF(Weightings!G163&gt;0,Weightings!G163,'Preliminary SO66'!AB160)</f>
        <v>8804094</v>
      </c>
      <c r="BB163" s="2">
        <f t="shared" si="215"/>
        <v>8685778</v>
      </c>
      <c r="BC163" s="124"/>
      <c r="BD163" s="124">
        <f>Weightings!E163</f>
        <v>0</v>
      </c>
      <c r="BE163" s="124">
        <f>Weightings!F163</f>
        <v>0</v>
      </c>
      <c r="BF163" s="2">
        <f t="shared" si="216"/>
        <v>0</v>
      </c>
      <c r="BG163" s="2">
        <f t="shared" si="217"/>
        <v>8685778</v>
      </c>
      <c r="BH163" s="2">
        <f>MAX(ROUND(((AR163-AO163)*4433)+AP163,0),ROUND(((AR163-AO163)*4433)+Weightings!B163,0))</f>
        <v>9768111</v>
      </c>
      <c r="BI163" s="174">
        <v>0.3</v>
      </c>
      <c r="BJ163" s="2">
        <f t="shared" si="191"/>
        <v>2930433</v>
      </c>
      <c r="BK163" s="173">
        <v>2400000</v>
      </c>
      <c r="BL163" s="2">
        <f t="shared" si="194"/>
        <v>2400000</v>
      </c>
      <c r="BM163" s="3">
        <f t="shared" si="232"/>
        <v>0.2457</v>
      </c>
      <c r="BN163" s="1">
        <f t="shared" si="218"/>
        <v>0</v>
      </c>
      <c r="BO163" s="4" t="b">
        <f t="shared" si="219"/>
        <v>0</v>
      </c>
      <c r="BP163" s="5">
        <f t="shared" si="220"/>
        <v>0</v>
      </c>
      <c r="BQ163" s="6">
        <f t="shared" si="195"/>
        <v>0</v>
      </c>
      <c r="BR163" s="4">
        <f t="shared" si="221"/>
        <v>0</v>
      </c>
      <c r="BS163" s="4" t="b">
        <f t="shared" si="222"/>
        <v>1</v>
      </c>
      <c r="BT163" s="4">
        <f t="shared" si="223"/>
        <v>1043.2125000000001</v>
      </c>
      <c r="BU163" s="6">
        <f t="shared" si="196"/>
        <v>0.19777800000000001</v>
      </c>
      <c r="BV163" s="1">
        <f t="shared" si="224"/>
        <v>226.1</v>
      </c>
      <c r="BW163" s="1">
        <f t="shared" si="225"/>
        <v>0</v>
      </c>
      <c r="BX163" s="116">
        <v>103</v>
      </c>
      <c r="BY163" s="7">
        <f t="shared" si="233"/>
        <v>2.16</v>
      </c>
      <c r="BZ163" s="7">
        <f>IF(ROUND((Weightings!$P$5*BY163^Weightings!$P$6*Weightings!$P$8 ),2)&lt;Weightings!$P$7,Weightings!$P$7,ROUND((Weightings!$P$5*BY163^Weightings!$P$6*Weightings!$P$8 ),2))</f>
        <v>840.78</v>
      </c>
      <c r="CA163" s="8">
        <f>ROUND(BZ163/Weightings!$M$5,4)</f>
        <v>0.21909999999999999</v>
      </c>
      <c r="CB163" s="1">
        <f t="shared" si="234"/>
        <v>48.6</v>
      </c>
      <c r="CC163" s="173">
        <v>0</v>
      </c>
      <c r="CD163" s="173">
        <v>0</v>
      </c>
      <c r="CE163" s="173">
        <v>0</v>
      </c>
      <c r="CF163" s="177">
        <v>0</v>
      </c>
      <c r="CG163" s="2">
        <f>AS163*Weightings!$M$5*CF163</f>
        <v>0</v>
      </c>
      <c r="CH163" s="2">
        <f t="shared" si="198"/>
        <v>0</v>
      </c>
      <c r="CI163" s="117">
        <f t="shared" si="226"/>
        <v>0.58699999999999997</v>
      </c>
      <c r="CJ163" s="4">
        <f t="shared" si="227"/>
        <v>11.1</v>
      </c>
      <c r="CK163" s="1">
        <f t="shared" si="235"/>
        <v>70.5</v>
      </c>
      <c r="CL163" s="1">
        <f t="shared" si="236"/>
        <v>0</v>
      </c>
      <c r="CM163" s="1">
        <f t="shared" si="237"/>
        <v>0</v>
      </c>
      <c r="CN163" s="1">
        <f>IF(ISNA(VLOOKUP($CZ163,'Audit Values'!$A$2:$AE$439,2,FALSE)),'Preliminary SO66'!T160,VLOOKUP($CZ163,'Audit Values'!$A$2:$AE$439,20,FALSE))</f>
        <v>0</v>
      </c>
      <c r="CO163" s="1">
        <f t="shared" si="228"/>
        <v>0</v>
      </c>
      <c r="CP163" s="183">
        <v>0</v>
      </c>
      <c r="CQ163" s="1">
        <f t="shared" si="229"/>
        <v>0</v>
      </c>
      <c r="CR163" s="2">
        <f>IF(ISNA(VLOOKUP($CZ163,'Audit Values'!$A$2:$AE$439,2,FALSE)),'Preliminary SO66'!V160,VLOOKUP($CZ163,'Audit Values'!$A$2:$AE$439,22,FALSE))</f>
        <v>0</v>
      </c>
      <c r="CS163" s="1">
        <f t="shared" si="230"/>
        <v>0</v>
      </c>
      <c r="CT163" s="2">
        <f>IF(ISNA(VLOOKUP($CZ163,'Audit Values'!$A$2:$AE$439,2,FALSE)),'Preliminary SO66'!W160,VLOOKUP($CZ163,'Audit Values'!$A$2:$AE$439,23,FALSE))</f>
        <v>0</v>
      </c>
      <c r="CU163" s="1">
        <f t="shared" si="241"/>
        <v>0</v>
      </c>
      <c r="CV163" s="1">
        <f t="shared" si="242"/>
        <v>0</v>
      </c>
      <c r="CW163" s="176">
        <v>0</v>
      </c>
      <c r="CX163" s="2">
        <f>IF(CW163&gt;0,Weightings!$M$11*AR163,0)</f>
        <v>0</v>
      </c>
      <c r="CY163" s="2">
        <f t="shared" si="238"/>
        <v>0</v>
      </c>
      <c r="CZ163" s="108" t="s">
        <v>455</v>
      </c>
    </row>
    <row r="164" spans="1:104">
      <c r="A164" s="82">
        <v>368</v>
      </c>
      <c r="B164" s="4" t="s">
        <v>75</v>
      </c>
      <c r="C164" s="4" t="s">
        <v>791</v>
      </c>
      <c r="D164" s="1">
        <v>1986.6</v>
      </c>
      <c r="E164" s="1">
        <v>0</v>
      </c>
      <c r="F164" s="1">
        <f t="shared" si="240"/>
        <v>1986.6</v>
      </c>
      <c r="G164" s="1">
        <v>1953.3</v>
      </c>
      <c r="H164" s="1">
        <v>0</v>
      </c>
      <c r="I164" s="1">
        <f t="shared" si="201"/>
        <v>1953.3</v>
      </c>
      <c r="J164" s="1">
        <f t="shared" si="202"/>
        <v>1919</v>
      </c>
      <c r="K164" s="1">
        <f>IF(ISNA(VLOOKUP($CZ164,'Audit Values'!$A$2:$AE$439,2,FALSE)),'Preliminary SO66'!B161,VLOOKUP($CZ164,'Audit Values'!$A$2:$AE$439,31,FALSE))</f>
        <v>1919</v>
      </c>
      <c r="L164" s="1">
        <f t="shared" si="203"/>
        <v>1953.3</v>
      </c>
      <c r="M164" s="1">
        <f>IF(ISNA(VLOOKUP($CZ164,'Audit Values'!$A$2:$AE$439,2,FALSE)),'Preliminary SO66'!Z161,VLOOKUP($CZ164,'Audit Values'!$A$2:$AE$439,26,FALSE))</f>
        <v>0</v>
      </c>
      <c r="N164" s="1">
        <f t="shared" si="204"/>
        <v>1953.3</v>
      </c>
      <c r="O164" s="1">
        <f>IF(ISNA(VLOOKUP($CZ164,'Audit Values'!$A$2:$AE$439,2,FALSE)),'Preliminary SO66'!C161,IF(VLOOKUP($CZ164,'Audit Values'!$A$2:$AE$439,28,FALSE)="",VLOOKUP($CZ164,'Audit Values'!$A$2:$AE$439,3,FALSE),VLOOKUP($CZ164,'Audit Values'!$A$2:$AE$439,28,FALSE)))</f>
        <v>0</v>
      </c>
      <c r="P164" s="109">
        <f t="shared" si="205"/>
        <v>1919</v>
      </c>
      <c r="Q164" s="110">
        <f t="shared" si="206"/>
        <v>1919</v>
      </c>
      <c r="R164" s="111">
        <f t="shared" si="207"/>
        <v>1919</v>
      </c>
      <c r="S164" s="1">
        <f t="shared" si="208"/>
        <v>1953.3</v>
      </c>
      <c r="T164" s="1">
        <f t="shared" si="239"/>
        <v>0</v>
      </c>
      <c r="U164" s="1">
        <f t="shared" si="209"/>
        <v>68.400000000000006</v>
      </c>
      <c r="V164" s="1">
        <f t="shared" si="199"/>
        <v>0</v>
      </c>
      <c r="W164" s="1">
        <f t="shared" si="200"/>
        <v>68.400000000000006</v>
      </c>
      <c r="X164" s="1">
        <f>IF(ISNA(VLOOKUP($CZ164,'Audit Values'!$A$2:$AE$439,2,FALSE)),'Preliminary SO66'!D161,VLOOKUP($CZ164,'Audit Values'!$A$2:$AE$439,4,FALSE))</f>
        <v>520.79999999999995</v>
      </c>
      <c r="Y164" s="1">
        <f>ROUND((X164/6)*Weightings!$M$6,1)</f>
        <v>43.4</v>
      </c>
      <c r="Z164" s="1">
        <f>IF(ISNA(VLOOKUP($CZ164,'Audit Values'!$A$2:$AE$439,2,FALSE)),'Preliminary SO66'!F161,VLOOKUP($CZ164,'Audit Values'!$A$2:$AE$439,6,FALSE))</f>
        <v>13</v>
      </c>
      <c r="AA164" s="1">
        <f>ROUND((Z164/6)*Weightings!$M$7,1)</f>
        <v>0.9</v>
      </c>
      <c r="AB164" s="2">
        <f>IF(ISNA(VLOOKUP($CZ164,'Audit Values'!$A$2:$AE$439,2,FALSE)),'Preliminary SO66'!H161,VLOOKUP($CZ164,'Audit Values'!$A$2:$AE$439,8,FALSE))</f>
        <v>635</v>
      </c>
      <c r="AC164" s="1">
        <f>ROUND(AB164*Weightings!$M$8,1)</f>
        <v>289.60000000000002</v>
      </c>
      <c r="AD164" s="1">
        <f t="shared" si="197"/>
        <v>0</v>
      </c>
      <c r="AE164" s="185">
        <v>114</v>
      </c>
      <c r="AF164" s="1">
        <f>AE164*Weightings!$M$9</f>
        <v>5.3</v>
      </c>
      <c r="AG164" s="1">
        <f>IF(ISNA(VLOOKUP($CZ164,'Audit Values'!$A$2:$AE$439,2,FALSE)),'Preliminary SO66'!L161,VLOOKUP($CZ164,'Audit Values'!$A$2:$AE$439,12,FALSE))</f>
        <v>0</v>
      </c>
      <c r="AH164" s="1">
        <f>ROUND(AG164*Weightings!$M$10,1)</f>
        <v>0</v>
      </c>
      <c r="AI164" s="1">
        <f>IF(ISNA(VLOOKUP($CZ164,'Audit Values'!$A$2:$AE$439,2,FALSE)),'Preliminary SO66'!O161,VLOOKUP($CZ164,'Audit Values'!$A$2:$AE$439,15,FALSE))</f>
        <v>785.4</v>
      </c>
      <c r="AJ164" s="1">
        <f t="shared" si="210"/>
        <v>150.1</v>
      </c>
      <c r="AK164" s="1">
        <f>CC164/Weightings!$M$5</f>
        <v>0</v>
      </c>
      <c r="AL164" s="1">
        <f>CD164/Weightings!$M$5</f>
        <v>0</v>
      </c>
      <c r="AM164" s="1">
        <f>CH164/Weightings!$M$5</f>
        <v>0</v>
      </c>
      <c r="AN164" s="1">
        <f t="shared" si="211"/>
        <v>0</v>
      </c>
      <c r="AO164" s="1">
        <f>IF(ISNA(VLOOKUP($CZ164,'Audit Values'!$A$2:$AE$439,2,FALSE)),'Preliminary SO66'!X161,VLOOKUP($CZ164,'Audit Values'!$A$2:$AE$439,24,FALSE))</f>
        <v>0</v>
      </c>
      <c r="AP164" s="188">
        <v>1797156</v>
      </c>
      <c r="AQ164" s="113">
        <f>AP164/Weightings!$M$5</f>
        <v>468.3</v>
      </c>
      <c r="AR164" s="113">
        <f t="shared" si="212"/>
        <v>2511</v>
      </c>
      <c r="AS164" s="1">
        <f t="shared" si="213"/>
        <v>2979.3</v>
      </c>
      <c r="AT164" s="1">
        <f t="shared" si="214"/>
        <v>2979.3</v>
      </c>
      <c r="AU164" s="2">
        <f t="shared" si="231"/>
        <v>0</v>
      </c>
      <c r="AV164" s="82">
        <f>IF(ISNA(VLOOKUP($CZ164,'Audit Values'!$A$2:$AC$360,2,FALSE)),"",IF(AND(Weightings!H164&gt;0,VLOOKUP($CZ164,'Audit Values'!$A$2:$AC$360,29,FALSE)&lt;Weightings!H164),Weightings!H164,VLOOKUP($CZ164,'Audit Values'!$A$2:$AC$360,29,FALSE)))</f>
        <v>24</v>
      </c>
      <c r="AW164" s="82" t="str">
        <f>IF(ISNA(VLOOKUP($CZ164,'Audit Values'!$A$2:$AD$360,2,FALSE)),"",VLOOKUP($CZ164,'Audit Values'!$A$2:$AD$360,30,FALSE))</f>
        <v>A</v>
      </c>
      <c r="AX164" s="82" t="str">
        <f>IF(Weightings!G164="","",IF(Weightings!I164="Pending","PX","R"))</f>
        <v/>
      </c>
      <c r="AY164" s="114">
        <f>AR164*Weightings!$M$5+AU164</f>
        <v>9637218</v>
      </c>
      <c r="AZ164" s="2">
        <f>AT164*Weightings!$M$5+AU164</f>
        <v>11434553</v>
      </c>
      <c r="BA164" s="2">
        <f>IF(Weightings!G164&gt;0,Weightings!G164,'Preliminary SO66'!AB161)</f>
        <v>11660228</v>
      </c>
      <c r="BB164" s="2">
        <f t="shared" si="215"/>
        <v>11434553</v>
      </c>
      <c r="BC164" s="124"/>
      <c r="BD164" s="124">
        <f>Weightings!E164</f>
        <v>0</v>
      </c>
      <c r="BE164" s="124">
        <f>Weightings!F164</f>
        <v>0</v>
      </c>
      <c r="BF164" s="2">
        <f t="shared" si="216"/>
        <v>0</v>
      </c>
      <c r="BG164" s="2">
        <f t="shared" si="217"/>
        <v>11434553</v>
      </c>
      <c r="BH164" s="2">
        <f>MAX(ROUND(((AR164-AO164)*4433)+AP164,0),ROUND(((AR164-AO164)*4433)+Weightings!B164,0))</f>
        <v>12928419</v>
      </c>
      <c r="BI164" s="174">
        <v>0.3</v>
      </c>
      <c r="BJ164" s="2">
        <f t="shared" si="191"/>
        <v>3878526</v>
      </c>
      <c r="BK164" s="173">
        <v>3944268</v>
      </c>
      <c r="BL164" s="2">
        <f t="shared" si="194"/>
        <v>3878526</v>
      </c>
      <c r="BM164" s="3">
        <f t="shared" si="232"/>
        <v>0.3</v>
      </c>
      <c r="BN164" s="1">
        <f t="shared" si="218"/>
        <v>0</v>
      </c>
      <c r="BO164" s="4" t="b">
        <f t="shared" si="219"/>
        <v>0</v>
      </c>
      <c r="BP164" s="5">
        <f t="shared" si="220"/>
        <v>0</v>
      </c>
      <c r="BQ164" s="6">
        <f t="shared" si="195"/>
        <v>0</v>
      </c>
      <c r="BR164" s="4">
        <f t="shared" si="221"/>
        <v>0</v>
      </c>
      <c r="BS164" s="4" t="b">
        <f t="shared" si="222"/>
        <v>0</v>
      </c>
      <c r="BT164" s="4">
        <f t="shared" si="223"/>
        <v>0</v>
      </c>
      <c r="BU164" s="6">
        <f t="shared" si="196"/>
        <v>0</v>
      </c>
      <c r="BV164" s="1">
        <f t="shared" si="224"/>
        <v>0</v>
      </c>
      <c r="BW164" s="1">
        <f t="shared" si="225"/>
        <v>68.400000000000006</v>
      </c>
      <c r="BX164" s="116">
        <v>200</v>
      </c>
      <c r="BY164" s="7">
        <f t="shared" si="233"/>
        <v>3.93</v>
      </c>
      <c r="BZ164" s="7">
        <f>IF(ROUND((Weightings!$P$5*BY164^Weightings!$P$6*Weightings!$P$8 ),2)&lt;Weightings!$P$7,Weightings!$P$7,ROUND((Weightings!$P$5*BY164^Weightings!$P$6*Weightings!$P$8 ),2))</f>
        <v>733.49</v>
      </c>
      <c r="CA164" s="8">
        <f>ROUND(BZ164/Weightings!$M$5,4)</f>
        <v>0.19109999999999999</v>
      </c>
      <c r="CB164" s="1">
        <f t="shared" si="234"/>
        <v>150.1</v>
      </c>
      <c r="CC164" s="173">
        <v>0</v>
      </c>
      <c r="CD164" s="173">
        <v>0</v>
      </c>
      <c r="CE164" s="173">
        <v>0</v>
      </c>
      <c r="CF164" s="177">
        <v>5.5999999999999999E-3</v>
      </c>
      <c r="CG164" s="2">
        <f>AS164*Weightings!$M$5*CF164</f>
        <v>64033</v>
      </c>
      <c r="CH164" s="2">
        <f t="shared" si="198"/>
        <v>0</v>
      </c>
      <c r="CI164" s="117">
        <f t="shared" si="226"/>
        <v>0.32500000000000001</v>
      </c>
      <c r="CJ164" s="4">
        <f t="shared" si="227"/>
        <v>9.8000000000000007</v>
      </c>
      <c r="CK164" s="1">
        <f t="shared" si="235"/>
        <v>0</v>
      </c>
      <c r="CL164" s="1">
        <f t="shared" si="236"/>
        <v>0</v>
      </c>
      <c r="CM164" s="1">
        <f t="shared" si="237"/>
        <v>0</v>
      </c>
      <c r="CN164" s="1">
        <f>IF(ISNA(VLOOKUP($CZ164,'Audit Values'!$A$2:$AE$439,2,FALSE)),'Preliminary SO66'!T161,VLOOKUP($CZ164,'Audit Values'!$A$2:$AE$439,20,FALSE))</f>
        <v>0</v>
      </c>
      <c r="CO164" s="1">
        <f t="shared" si="228"/>
        <v>0</v>
      </c>
      <c r="CP164" s="183">
        <v>0</v>
      </c>
      <c r="CQ164" s="1">
        <f t="shared" si="229"/>
        <v>0</v>
      </c>
      <c r="CR164" s="2">
        <f>IF(ISNA(VLOOKUP($CZ164,'Audit Values'!$A$2:$AE$439,2,FALSE)),'Preliminary SO66'!V161,VLOOKUP($CZ164,'Audit Values'!$A$2:$AE$439,22,FALSE))</f>
        <v>0</v>
      </c>
      <c r="CS164" s="1">
        <f t="shared" si="230"/>
        <v>0</v>
      </c>
      <c r="CT164" s="2">
        <f>IF(ISNA(VLOOKUP($CZ164,'Audit Values'!$A$2:$AE$439,2,FALSE)),'Preliminary SO66'!W161,VLOOKUP($CZ164,'Audit Values'!$A$2:$AE$439,23,FALSE))</f>
        <v>0</v>
      </c>
      <c r="CU164" s="1">
        <f t="shared" si="241"/>
        <v>0</v>
      </c>
      <c r="CV164" s="1">
        <f t="shared" si="242"/>
        <v>0</v>
      </c>
      <c r="CW164" s="176">
        <v>0</v>
      </c>
      <c r="CX164" s="2">
        <f>IF(CW164&gt;0,Weightings!$M$11*AR164,0)</f>
        <v>0</v>
      </c>
      <c r="CY164" s="2">
        <f t="shared" si="238"/>
        <v>0</v>
      </c>
      <c r="CZ164" s="108" t="s">
        <v>456</v>
      </c>
    </row>
    <row r="165" spans="1:104">
      <c r="A165" s="82">
        <v>369</v>
      </c>
      <c r="B165" s="4" t="s">
        <v>76</v>
      </c>
      <c r="C165" s="4" t="s">
        <v>792</v>
      </c>
      <c r="D165" s="1">
        <v>246.5</v>
      </c>
      <c r="E165" s="1">
        <v>0</v>
      </c>
      <c r="F165" s="1">
        <f t="shared" si="240"/>
        <v>246.5</v>
      </c>
      <c r="G165" s="1">
        <v>223.8</v>
      </c>
      <c r="H165" s="1">
        <v>0</v>
      </c>
      <c r="I165" s="1">
        <f t="shared" si="201"/>
        <v>223.8</v>
      </c>
      <c r="J165" s="1">
        <f t="shared" si="202"/>
        <v>230</v>
      </c>
      <c r="K165" s="1">
        <f>IF(ISNA(VLOOKUP($CZ165,'Audit Values'!$A$2:$AE$439,2,FALSE)),'Preliminary SO66'!B162,VLOOKUP($CZ165,'Audit Values'!$A$2:$AE$439,31,FALSE))</f>
        <v>230</v>
      </c>
      <c r="L165" s="1">
        <f t="shared" si="203"/>
        <v>233.4</v>
      </c>
      <c r="M165" s="1">
        <f>IF(ISNA(VLOOKUP($CZ165,'Audit Values'!$A$2:$AE$439,2,FALSE)),'Preliminary SO66'!Z162,VLOOKUP($CZ165,'Audit Values'!$A$2:$AE$439,26,FALSE))</f>
        <v>0</v>
      </c>
      <c r="N165" s="1">
        <f t="shared" si="204"/>
        <v>233.4</v>
      </c>
      <c r="O165" s="1">
        <f>IF(ISNA(VLOOKUP($CZ165,'Audit Values'!$A$2:$AE$439,2,FALSE)),'Preliminary SO66'!C162,IF(VLOOKUP($CZ165,'Audit Values'!$A$2:$AE$439,28,FALSE)="",VLOOKUP($CZ165,'Audit Values'!$A$2:$AE$439,3,FALSE),VLOOKUP($CZ165,'Audit Values'!$A$2:$AE$439,28,FALSE)))</f>
        <v>2.5</v>
      </c>
      <c r="P165" s="109">
        <f t="shared" si="205"/>
        <v>232.5</v>
      </c>
      <c r="Q165" s="110">
        <f t="shared" si="206"/>
        <v>232.5</v>
      </c>
      <c r="R165" s="111">
        <f t="shared" si="207"/>
        <v>232.5</v>
      </c>
      <c r="S165" s="1">
        <f t="shared" si="208"/>
        <v>235.9</v>
      </c>
      <c r="T165" s="1">
        <f t="shared" si="239"/>
        <v>0</v>
      </c>
      <c r="U165" s="1">
        <f t="shared" si="209"/>
        <v>154.30000000000001</v>
      </c>
      <c r="V165" s="1">
        <f t="shared" si="199"/>
        <v>154.30000000000001</v>
      </c>
      <c r="W165" s="1">
        <f t="shared" si="200"/>
        <v>0</v>
      </c>
      <c r="X165" s="1">
        <f>IF(ISNA(VLOOKUP($CZ165,'Audit Values'!$A$2:$AE$439,2,FALSE)),'Preliminary SO66'!D162,VLOOKUP($CZ165,'Audit Values'!$A$2:$AE$439,4,FALSE))</f>
        <v>73.400000000000006</v>
      </c>
      <c r="Y165" s="1">
        <f>ROUND((X165/6)*Weightings!$M$6,1)</f>
        <v>6.1</v>
      </c>
      <c r="Z165" s="1">
        <f>IF(ISNA(VLOOKUP($CZ165,'Audit Values'!$A$2:$AE$439,2,FALSE)),'Preliminary SO66'!F162,VLOOKUP($CZ165,'Audit Values'!$A$2:$AE$439,6,FALSE))</f>
        <v>3.6</v>
      </c>
      <c r="AA165" s="1">
        <f>ROUND((Z165/6)*Weightings!$M$7,1)</f>
        <v>0.2</v>
      </c>
      <c r="AB165" s="2">
        <f>IF(ISNA(VLOOKUP($CZ165,'Audit Values'!$A$2:$AE$439,2,FALSE)),'Preliminary SO66'!H162,VLOOKUP($CZ165,'Audit Values'!$A$2:$AE$439,8,FALSE))</f>
        <v>125</v>
      </c>
      <c r="AC165" s="1">
        <f>ROUND(AB165*Weightings!$M$8,1)</f>
        <v>57</v>
      </c>
      <c r="AD165" s="1">
        <f t="shared" si="197"/>
        <v>13.1</v>
      </c>
      <c r="AE165" s="185">
        <v>19</v>
      </c>
      <c r="AF165" s="1">
        <f>AE165*Weightings!$M$9</f>
        <v>0.9</v>
      </c>
      <c r="AG165" s="1">
        <f>IF(ISNA(VLOOKUP($CZ165,'Audit Values'!$A$2:$AE$439,2,FALSE)),'Preliminary SO66'!L162,VLOOKUP($CZ165,'Audit Values'!$A$2:$AE$439,12,FALSE))</f>
        <v>0</v>
      </c>
      <c r="AH165" s="1">
        <f>ROUND(AG165*Weightings!$M$10,1)</f>
        <v>0</v>
      </c>
      <c r="AI165" s="1">
        <f>IF(ISNA(VLOOKUP($CZ165,'Audit Values'!$A$2:$AE$439,2,FALSE)),'Preliminary SO66'!O162,VLOOKUP($CZ165,'Audit Values'!$A$2:$AE$439,15,FALSE))</f>
        <v>32</v>
      </c>
      <c r="AJ165" s="1">
        <f t="shared" si="210"/>
        <v>10.7</v>
      </c>
      <c r="AK165" s="1">
        <f>CC165/Weightings!$M$5</f>
        <v>0</v>
      </c>
      <c r="AL165" s="1">
        <f>CD165/Weightings!$M$5</f>
        <v>0</v>
      </c>
      <c r="AM165" s="1">
        <f>CH165/Weightings!$M$5</f>
        <v>0</v>
      </c>
      <c r="AN165" s="1">
        <f t="shared" si="211"/>
        <v>0</v>
      </c>
      <c r="AO165" s="1">
        <f>IF(ISNA(VLOOKUP($CZ165,'Audit Values'!$A$2:$AE$439,2,FALSE)),'Preliminary SO66'!X162,VLOOKUP($CZ165,'Audit Values'!$A$2:$AE$439,24,FALSE))</f>
        <v>0</v>
      </c>
      <c r="AP165" s="188">
        <v>247376.99999999997</v>
      </c>
      <c r="AQ165" s="113">
        <f>AP165/Weightings!$M$5</f>
        <v>64.5</v>
      </c>
      <c r="AR165" s="113">
        <f t="shared" si="212"/>
        <v>478.2</v>
      </c>
      <c r="AS165" s="1">
        <f t="shared" si="213"/>
        <v>542.70000000000005</v>
      </c>
      <c r="AT165" s="1">
        <f t="shared" si="214"/>
        <v>542.70000000000005</v>
      </c>
      <c r="AU165" s="2">
        <f t="shared" si="231"/>
        <v>0</v>
      </c>
      <c r="AV165" s="82">
        <f>IF(ISNA(VLOOKUP($CZ165,'Audit Values'!$A$2:$AC$360,2,FALSE)),"",IF(AND(Weightings!H165&gt;0,VLOOKUP($CZ165,'Audit Values'!$A$2:$AC$360,29,FALSE)&lt;Weightings!H165),Weightings!H165,VLOOKUP($CZ165,'Audit Values'!$A$2:$AC$360,29,FALSE)))</f>
        <v>1</v>
      </c>
      <c r="AW165" s="82" t="str">
        <f>IF(ISNA(VLOOKUP($CZ165,'Audit Values'!$A$2:$AD$360,2,FALSE)),"",VLOOKUP($CZ165,'Audit Values'!$A$2:$AD$360,30,FALSE))</f>
        <v>A</v>
      </c>
      <c r="AX165" s="82" t="str">
        <f>IF(Weightings!G165="","",IF(Weightings!I165="Pending","PX","R"))</f>
        <v/>
      </c>
      <c r="AY165" s="114">
        <f>AR165*Weightings!$M$5+AU165</f>
        <v>1835332</v>
      </c>
      <c r="AZ165" s="2">
        <f>AT165*Weightings!$M$5+AU165</f>
        <v>2082883</v>
      </c>
      <c r="BA165" s="2">
        <f>IF(Weightings!G165&gt;0,Weightings!G165,'Preliminary SO66'!AB162)</f>
        <v>2129322</v>
      </c>
      <c r="BB165" s="2">
        <f t="shared" si="215"/>
        <v>2082883</v>
      </c>
      <c r="BC165" s="124"/>
      <c r="BD165" s="124">
        <f>Weightings!E165</f>
        <v>0</v>
      </c>
      <c r="BE165" s="124">
        <f>Weightings!F165</f>
        <v>0</v>
      </c>
      <c r="BF165" s="2">
        <f t="shared" si="216"/>
        <v>0</v>
      </c>
      <c r="BG165" s="2">
        <f t="shared" si="217"/>
        <v>2082883</v>
      </c>
      <c r="BH165" s="2">
        <f>MAX(ROUND(((AR165-AO165)*4433)+AP165,0),ROUND(((AR165-AO165)*4433)+Weightings!B165,0))</f>
        <v>2367238</v>
      </c>
      <c r="BI165" s="174">
        <v>0.3</v>
      </c>
      <c r="BJ165" s="2">
        <f t="shared" si="191"/>
        <v>710171</v>
      </c>
      <c r="BK165" s="173">
        <v>725098</v>
      </c>
      <c r="BL165" s="2">
        <f t="shared" si="194"/>
        <v>710171</v>
      </c>
      <c r="BM165" s="3">
        <f t="shared" si="232"/>
        <v>0.3</v>
      </c>
      <c r="BN165" s="1">
        <f t="shared" si="218"/>
        <v>0</v>
      </c>
      <c r="BO165" s="4" t="b">
        <f t="shared" si="219"/>
        <v>1</v>
      </c>
      <c r="BP165" s="5">
        <f t="shared" si="220"/>
        <v>1312.115</v>
      </c>
      <c r="BQ165" s="6">
        <f t="shared" si="195"/>
        <v>0.65409799999999996</v>
      </c>
      <c r="BR165" s="4">
        <f t="shared" si="221"/>
        <v>154.30000000000001</v>
      </c>
      <c r="BS165" s="4" t="b">
        <f t="shared" si="222"/>
        <v>0</v>
      </c>
      <c r="BT165" s="4">
        <f t="shared" si="223"/>
        <v>0</v>
      </c>
      <c r="BU165" s="6">
        <f t="shared" si="196"/>
        <v>0</v>
      </c>
      <c r="BV165" s="1">
        <f t="shared" si="224"/>
        <v>0</v>
      </c>
      <c r="BW165" s="1">
        <f t="shared" si="225"/>
        <v>0</v>
      </c>
      <c r="BX165" s="116">
        <v>95</v>
      </c>
      <c r="BY165" s="7">
        <f t="shared" si="233"/>
        <v>0.34</v>
      </c>
      <c r="BZ165" s="7">
        <f>IF(ROUND((Weightings!$P$5*BY165^Weightings!$P$6*Weightings!$P$8 ),2)&lt;Weightings!$P$7,Weightings!$P$7,ROUND((Weightings!$P$5*BY165^Weightings!$P$6*Weightings!$P$8 ),2))</f>
        <v>1281.8699999999999</v>
      </c>
      <c r="CA165" s="8">
        <f>ROUND(BZ165/Weightings!$M$5,4)</f>
        <v>0.33400000000000002</v>
      </c>
      <c r="CB165" s="1">
        <f t="shared" si="234"/>
        <v>10.7</v>
      </c>
      <c r="CC165" s="173">
        <v>0</v>
      </c>
      <c r="CD165" s="173">
        <v>0</v>
      </c>
      <c r="CE165" s="173">
        <v>0</v>
      </c>
      <c r="CF165" s="177">
        <v>0</v>
      </c>
      <c r="CG165" s="2">
        <f>AS165*Weightings!$M$5*CF165</f>
        <v>0</v>
      </c>
      <c r="CH165" s="2">
        <f t="shared" si="198"/>
        <v>0</v>
      </c>
      <c r="CI165" s="117">
        <f t="shared" si="226"/>
        <v>0.53</v>
      </c>
      <c r="CJ165" s="4">
        <f t="shared" si="227"/>
        <v>2.5</v>
      </c>
      <c r="CK165" s="1">
        <f t="shared" si="235"/>
        <v>13.1</v>
      </c>
      <c r="CL165" s="1">
        <f t="shared" si="236"/>
        <v>0</v>
      </c>
      <c r="CM165" s="1">
        <f t="shared" si="237"/>
        <v>0</v>
      </c>
      <c r="CN165" s="1">
        <f>IF(ISNA(VLOOKUP($CZ165,'Audit Values'!$A$2:$AE$439,2,FALSE)),'Preliminary SO66'!T162,VLOOKUP($CZ165,'Audit Values'!$A$2:$AE$439,20,FALSE))</f>
        <v>0</v>
      </c>
      <c r="CO165" s="1">
        <f t="shared" si="228"/>
        <v>0</v>
      </c>
      <c r="CP165" s="183">
        <v>0</v>
      </c>
      <c r="CQ165" s="1">
        <f t="shared" si="229"/>
        <v>0</v>
      </c>
      <c r="CR165" s="2">
        <f>IF(ISNA(VLOOKUP($CZ165,'Audit Values'!$A$2:$AE$439,2,FALSE)),'Preliminary SO66'!V162,VLOOKUP($CZ165,'Audit Values'!$A$2:$AE$439,22,FALSE))</f>
        <v>0</v>
      </c>
      <c r="CS165" s="1">
        <f t="shared" si="230"/>
        <v>0</v>
      </c>
      <c r="CT165" s="2">
        <f>IF(ISNA(VLOOKUP($CZ165,'Audit Values'!$A$2:$AE$439,2,FALSE)),'Preliminary SO66'!W162,VLOOKUP($CZ165,'Audit Values'!$A$2:$AE$439,23,FALSE))</f>
        <v>0</v>
      </c>
      <c r="CU165" s="1">
        <f t="shared" si="241"/>
        <v>0</v>
      </c>
      <c r="CV165" s="1">
        <f t="shared" si="242"/>
        <v>0</v>
      </c>
      <c r="CW165" s="176">
        <v>0</v>
      </c>
      <c r="CX165" s="2">
        <f>IF(CW165&gt;0,Weightings!$M$11*AR165,0)</f>
        <v>0</v>
      </c>
      <c r="CY165" s="2">
        <f t="shared" si="238"/>
        <v>0</v>
      </c>
      <c r="CZ165" s="108" t="s">
        <v>457</v>
      </c>
    </row>
    <row r="166" spans="1:104">
      <c r="A166" s="82">
        <v>371</v>
      </c>
      <c r="B166" s="4" t="s">
        <v>7</v>
      </c>
      <c r="C166" s="4" t="s">
        <v>793</v>
      </c>
      <c r="D166" s="1">
        <v>220</v>
      </c>
      <c r="E166" s="1">
        <v>0</v>
      </c>
      <c r="F166" s="1">
        <f t="shared" si="240"/>
        <v>220</v>
      </c>
      <c r="G166" s="1">
        <v>224.9</v>
      </c>
      <c r="H166" s="1">
        <v>0</v>
      </c>
      <c r="I166" s="1">
        <f t="shared" si="201"/>
        <v>224.9</v>
      </c>
      <c r="J166" s="1">
        <f t="shared" si="202"/>
        <v>233.4</v>
      </c>
      <c r="K166" s="1">
        <f>IF(ISNA(VLOOKUP($CZ166,'Audit Values'!$A$2:$AE$439,2,FALSE)),'Preliminary SO66'!B163,VLOOKUP($CZ166,'Audit Values'!$A$2:$AE$439,31,FALSE))</f>
        <v>233.4</v>
      </c>
      <c r="L166" s="1">
        <f t="shared" si="203"/>
        <v>233.4</v>
      </c>
      <c r="M166" s="1">
        <f>IF(ISNA(VLOOKUP($CZ166,'Audit Values'!$A$2:$AE$439,2,FALSE)),'Preliminary SO66'!Z163,VLOOKUP($CZ166,'Audit Values'!$A$2:$AE$439,26,FALSE))</f>
        <v>0</v>
      </c>
      <c r="N166" s="1">
        <f t="shared" si="204"/>
        <v>233.4</v>
      </c>
      <c r="O166" s="1">
        <f>IF(ISNA(VLOOKUP($CZ166,'Audit Values'!$A$2:$AE$439,2,FALSE)),'Preliminary SO66'!C163,IF(VLOOKUP($CZ166,'Audit Values'!$A$2:$AE$439,28,FALSE)="",VLOOKUP($CZ166,'Audit Values'!$A$2:$AE$439,3,FALSE),VLOOKUP($CZ166,'Audit Values'!$A$2:$AE$439,28,FALSE)))</f>
        <v>1.5</v>
      </c>
      <c r="P166" s="109">
        <f t="shared" si="205"/>
        <v>234.9</v>
      </c>
      <c r="Q166" s="110">
        <f t="shared" si="206"/>
        <v>234.9</v>
      </c>
      <c r="R166" s="111">
        <f t="shared" si="207"/>
        <v>234.9</v>
      </c>
      <c r="S166" s="1">
        <f t="shared" si="208"/>
        <v>234.9</v>
      </c>
      <c r="T166" s="1">
        <f t="shared" si="239"/>
        <v>0</v>
      </c>
      <c r="U166" s="1">
        <f t="shared" si="209"/>
        <v>154.30000000000001</v>
      </c>
      <c r="V166" s="1">
        <f t="shared" si="199"/>
        <v>154.30000000000001</v>
      </c>
      <c r="W166" s="1">
        <f t="shared" si="200"/>
        <v>0</v>
      </c>
      <c r="X166" s="1">
        <f>IF(ISNA(VLOOKUP($CZ166,'Audit Values'!$A$2:$AE$439,2,FALSE)),'Preliminary SO66'!D163,VLOOKUP($CZ166,'Audit Values'!$A$2:$AE$439,4,FALSE))</f>
        <v>57</v>
      </c>
      <c r="Y166" s="1">
        <f>ROUND((X166/6)*Weightings!$M$6,1)</f>
        <v>4.8</v>
      </c>
      <c r="Z166" s="1">
        <f>IF(ISNA(VLOOKUP($CZ166,'Audit Values'!$A$2:$AE$439,2,FALSE)),'Preliminary SO66'!F163,VLOOKUP($CZ166,'Audit Values'!$A$2:$AE$439,6,FALSE))</f>
        <v>270.2</v>
      </c>
      <c r="AA166" s="1">
        <f>ROUND((Z166/6)*Weightings!$M$7,1)</f>
        <v>17.8</v>
      </c>
      <c r="AB166" s="2">
        <f>IF(ISNA(VLOOKUP($CZ166,'Audit Values'!$A$2:$AE$439,2,FALSE)),'Preliminary SO66'!H163,VLOOKUP($CZ166,'Audit Values'!$A$2:$AE$439,8,FALSE))</f>
        <v>64</v>
      </c>
      <c r="AC166" s="1">
        <f>ROUND(AB166*Weightings!$M$8,1)</f>
        <v>29.2</v>
      </c>
      <c r="AD166" s="1">
        <f t="shared" si="197"/>
        <v>0</v>
      </c>
      <c r="AE166" s="185">
        <v>15</v>
      </c>
      <c r="AF166" s="1">
        <f>AE166*Weightings!$M$9</f>
        <v>0.7</v>
      </c>
      <c r="AG166" s="1">
        <f>IF(ISNA(VLOOKUP($CZ166,'Audit Values'!$A$2:$AE$439,2,FALSE)),'Preliminary SO66'!L163,VLOOKUP($CZ166,'Audit Values'!$A$2:$AE$439,12,FALSE))</f>
        <v>0</v>
      </c>
      <c r="AH166" s="1">
        <f>ROUND(AG166*Weightings!$M$10,1)</f>
        <v>0</v>
      </c>
      <c r="AI166" s="1">
        <f>IF(ISNA(VLOOKUP($CZ166,'Audit Values'!$A$2:$AE$439,2,FALSE)),'Preliminary SO66'!O163,VLOOKUP($CZ166,'Audit Values'!$A$2:$AE$439,15,FALSE))</f>
        <v>68</v>
      </c>
      <c r="AJ166" s="1">
        <f t="shared" si="210"/>
        <v>22.7</v>
      </c>
      <c r="AK166" s="1">
        <f>CC166/Weightings!$M$5</f>
        <v>0</v>
      </c>
      <c r="AL166" s="1">
        <f>CD166/Weightings!$M$5</f>
        <v>0</v>
      </c>
      <c r="AM166" s="1">
        <f>CH166/Weightings!$M$5</f>
        <v>0</v>
      </c>
      <c r="AN166" s="1">
        <f t="shared" si="211"/>
        <v>0</v>
      </c>
      <c r="AO166" s="1">
        <f>IF(ISNA(VLOOKUP($CZ166,'Audit Values'!$A$2:$AE$439,2,FALSE)),'Preliminary SO66'!X163,VLOOKUP($CZ166,'Audit Values'!$A$2:$AE$439,24,FALSE))</f>
        <v>0</v>
      </c>
      <c r="AP166" s="188">
        <v>142645</v>
      </c>
      <c r="AQ166" s="113">
        <f>AP166/Weightings!$M$5</f>
        <v>37.200000000000003</v>
      </c>
      <c r="AR166" s="113">
        <f t="shared" si="212"/>
        <v>464.4</v>
      </c>
      <c r="AS166" s="1">
        <f t="shared" si="213"/>
        <v>501.6</v>
      </c>
      <c r="AT166" s="1">
        <f t="shared" si="214"/>
        <v>501.6</v>
      </c>
      <c r="AU166" s="2">
        <f t="shared" si="231"/>
        <v>0</v>
      </c>
      <c r="AV166" s="82">
        <f>IF(ISNA(VLOOKUP($CZ166,'Audit Values'!$A$2:$AC$360,2,FALSE)),"",IF(AND(Weightings!H166&gt;0,VLOOKUP($CZ166,'Audit Values'!$A$2:$AC$360,29,FALSE)&lt;Weightings!H166),Weightings!H166,VLOOKUP($CZ166,'Audit Values'!$A$2:$AC$360,29,FALSE)))</f>
        <v>10</v>
      </c>
      <c r="AW166" s="82" t="str">
        <f>IF(ISNA(VLOOKUP($CZ166,'Audit Values'!$A$2:$AD$360,2,FALSE)),"",VLOOKUP($CZ166,'Audit Values'!$A$2:$AD$360,30,FALSE))</f>
        <v>A</v>
      </c>
      <c r="AX166" s="82" t="str">
        <f>IF(Weightings!G166="","",IF(Weightings!I166="Pending","PX","R"))</f>
        <v/>
      </c>
      <c r="AY166" s="114">
        <f>AR166*Weightings!$M$5+AU166</f>
        <v>1782367</v>
      </c>
      <c r="AZ166" s="2">
        <f>AT166*Weightings!$M$5+AU166</f>
        <v>1925141</v>
      </c>
      <c r="BA166" s="2">
        <f>IF(Weightings!G166&gt;0,Weightings!G166,'Preliminary SO66'!AB163)</f>
        <v>1971964</v>
      </c>
      <c r="BB166" s="2">
        <f t="shared" si="215"/>
        <v>1925141</v>
      </c>
      <c r="BC166" s="124"/>
      <c r="BD166" s="124">
        <f>Weightings!E166</f>
        <v>0</v>
      </c>
      <c r="BE166" s="124">
        <f>Weightings!F166</f>
        <v>0</v>
      </c>
      <c r="BF166" s="2">
        <f t="shared" si="216"/>
        <v>0</v>
      </c>
      <c r="BG166" s="2">
        <f t="shared" si="217"/>
        <v>1925141</v>
      </c>
      <c r="BH166" s="2">
        <f>MAX(ROUND(((AR166-AO166)*4433)+AP166,0),ROUND(((AR166-AO166)*4433)+Weightings!B166,0))</f>
        <v>2215969</v>
      </c>
      <c r="BI166" s="174">
        <v>0.3</v>
      </c>
      <c r="BJ166" s="2">
        <f t="shared" si="191"/>
        <v>664791</v>
      </c>
      <c r="BK166" s="173">
        <v>675060</v>
      </c>
      <c r="BL166" s="2">
        <f t="shared" si="194"/>
        <v>664791</v>
      </c>
      <c r="BM166" s="3">
        <f t="shared" si="232"/>
        <v>0.3</v>
      </c>
      <c r="BN166" s="1">
        <f t="shared" si="218"/>
        <v>0</v>
      </c>
      <c r="BO166" s="4" t="b">
        <f t="shared" si="219"/>
        <v>1</v>
      </c>
      <c r="BP166" s="5">
        <f t="shared" si="220"/>
        <v>1302.46</v>
      </c>
      <c r="BQ166" s="6">
        <f t="shared" si="195"/>
        <v>0.656748</v>
      </c>
      <c r="BR166" s="4">
        <f t="shared" si="221"/>
        <v>154.30000000000001</v>
      </c>
      <c r="BS166" s="4" t="b">
        <f t="shared" si="222"/>
        <v>0</v>
      </c>
      <c r="BT166" s="4">
        <f t="shared" si="223"/>
        <v>0</v>
      </c>
      <c r="BU166" s="6">
        <f t="shared" si="196"/>
        <v>0</v>
      </c>
      <c r="BV166" s="1">
        <f t="shared" si="224"/>
        <v>0</v>
      </c>
      <c r="BW166" s="1">
        <f t="shared" si="225"/>
        <v>0</v>
      </c>
      <c r="BX166" s="116">
        <v>200.8</v>
      </c>
      <c r="BY166" s="7">
        <f t="shared" si="233"/>
        <v>0.34</v>
      </c>
      <c r="BZ166" s="7">
        <f>IF(ROUND((Weightings!$P$5*BY166^Weightings!$P$6*Weightings!$P$8 ),2)&lt;Weightings!$P$7,Weightings!$P$7,ROUND((Weightings!$P$5*BY166^Weightings!$P$6*Weightings!$P$8 ),2))</f>
        <v>1281.8699999999999</v>
      </c>
      <c r="CA166" s="8">
        <f>ROUND(BZ166/Weightings!$M$5,4)</f>
        <v>0.33400000000000002</v>
      </c>
      <c r="CB166" s="1">
        <f t="shared" si="234"/>
        <v>22.7</v>
      </c>
      <c r="CC166" s="173">
        <v>0</v>
      </c>
      <c r="CD166" s="173">
        <v>0</v>
      </c>
      <c r="CE166" s="173">
        <v>0</v>
      </c>
      <c r="CF166" s="177">
        <v>0</v>
      </c>
      <c r="CG166" s="2">
        <f>AS166*Weightings!$M$5*CF166</f>
        <v>0</v>
      </c>
      <c r="CH166" s="2">
        <f t="shared" si="198"/>
        <v>0</v>
      </c>
      <c r="CI166" s="117">
        <f t="shared" si="226"/>
        <v>0.27200000000000002</v>
      </c>
      <c r="CJ166" s="4">
        <f t="shared" si="227"/>
        <v>1.2</v>
      </c>
      <c r="CK166" s="1">
        <f t="shared" si="235"/>
        <v>0</v>
      </c>
      <c r="CL166" s="1">
        <f t="shared" si="236"/>
        <v>0</v>
      </c>
      <c r="CM166" s="1">
        <f t="shared" si="237"/>
        <v>0</v>
      </c>
      <c r="CN166" s="1">
        <f>IF(ISNA(VLOOKUP($CZ166,'Audit Values'!$A$2:$AE$439,2,FALSE)),'Preliminary SO66'!T163,VLOOKUP($CZ166,'Audit Values'!$A$2:$AE$439,20,FALSE))</f>
        <v>0</v>
      </c>
      <c r="CO166" s="1">
        <f t="shared" si="228"/>
        <v>0</v>
      </c>
      <c r="CP166" s="183">
        <v>0</v>
      </c>
      <c r="CQ166" s="1">
        <f t="shared" si="229"/>
        <v>0</v>
      </c>
      <c r="CR166" s="2">
        <f>IF(ISNA(VLOOKUP($CZ166,'Audit Values'!$A$2:$AE$439,2,FALSE)),'Preliminary SO66'!V163,VLOOKUP($CZ166,'Audit Values'!$A$2:$AE$439,22,FALSE))</f>
        <v>0</v>
      </c>
      <c r="CS166" s="1">
        <f t="shared" si="230"/>
        <v>0</v>
      </c>
      <c r="CT166" s="2">
        <f>IF(ISNA(VLOOKUP($CZ166,'Audit Values'!$A$2:$AE$439,2,FALSE)),'Preliminary SO66'!W163,VLOOKUP($CZ166,'Audit Values'!$A$2:$AE$439,23,FALSE))</f>
        <v>0</v>
      </c>
      <c r="CU166" s="1">
        <f t="shared" si="241"/>
        <v>0</v>
      </c>
      <c r="CV166" s="1">
        <f t="shared" si="242"/>
        <v>0</v>
      </c>
      <c r="CW166" s="176">
        <v>0</v>
      </c>
      <c r="CX166" s="2">
        <f>IF(CW166&gt;0,Weightings!$M$11*AR166,0)</f>
        <v>0</v>
      </c>
      <c r="CY166" s="2">
        <f t="shared" si="238"/>
        <v>0</v>
      </c>
      <c r="CZ166" s="108" t="s">
        <v>458</v>
      </c>
    </row>
    <row r="167" spans="1:104">
      <c r="A167" s="82">
        <v>372</v>
      </c>
      <c r="B167" s="4" t="s">
        <v>63</v>
      </c>
      <c r="C167" s="4" t="s">
        <v>794</v>
      </c>
      <c r="D167" s="1">
        <v>695.4</v>
      </c>
      <c r="E167" s="1">
        <v>0</v>
      </c>
      <c r="F167" s="1">
        <f t="shared" si="240"/>
        <v>695.4</v>
      </c>
      <c r="G167" s="1">
        <v>679</v>
      </c>
      <c r="H167" s="1">
        <v>0</v>
      </c>
      <c r="I167" s="1">
        <f t="shared" si="201"/>
        <v>679</v>
      </c>
      <c r="J167" s="1">
        <f t="shared" si="202"/>
        <v>685.7</v>
      </c>
      <c r="K167" s="1">
        <f>IF(ISNA(VLOOKUP($CZ167,'Audit Values'!$A$2:$AE$439,2,FALSE)),'Preliminary SO66'!B164,VLOOKUP($CZ167,'Audit Values'!$A$2:$AE$439,31,FALSE))</f>
        <v>685.7</v>
      </c>
      <c r="L167" s="1">
        <f t="shared" si="203"/>
        <v>686.7</v>
      </c>
      <c r="M167" s="1">
        <f>IF(ISNA(VLOOKUP($CZ167,'Audit Values'!$A$2:$AE$439,2,FALSE)),'Preliminary SO66'!Z164,VLOOKUP($CZ167,'Audit Values'!$A$2:$AE$439,26,FALSE))</f>
        <v>0</v>
      </c>
      <c r="N167" s="1">
        <f t="shared" si="204"/>
        <v>686.7</v>
      </c>
      <c r="O167" s="1">
        <f>IF(ISNA(VLOOKUP($CZ167,'Audit Values'!$A$2:$AE$439,2,FALSE)),'Preliminary SO66'!C164,IF(VLOOKUP($CZ167,'Audit Values'!$A$2:$AE$439,28,FALSE)="",VLOOKUP($CZ167,'Audit Values'!$A$2:$AE$439,3,FALSE),VLOOKUP($CZ167,'Audit Values'!$A$2:$AE$439,28,FALSE)))</f>
        <v>4.5</v>
      </c>
      <c r="P167" s="109">
        <f t="shared" si="205"/>
        <v>690.2</v>
      </c>
      <c r="Q167" s="110">
        <f t="shared" si="206"/>
        <v>690.2</v>
      </c>
      <c r="R167" s="111">
        <f t="shared" si="207"/>
        <v>690.2</v>
      </c>
      <c r="S167" s="1">
        <f t="shared" si="208"/>
        <v>691.2</v>
      </c>
      <c r="T167" s="1">
        <f t="shared" si="239"/>
        <v>0</v>
      </c>
      <c r="U167" s="1">
        <f t="shared" si="209"/>
        <v>242.8</v>
      </c>
      <c r="V167" s="1">
        <f t="shared" si="199"/>
        <v>242.8</v>
      </c>
      <c r="W167" s="1">
        <f t="shared" si="200"/>
        <v>0</v>
      </c>
      <c r="X167" s="1">
        <f>IF(ISNA(VLOOKUP($CZ167,'Audit Values'!$A$2:$AE$439,2,FALSE)),'Preliminary SO66'!D164,VLOOKUP($CZ167,'Audit Values'!$A$2:$AE$439,4,FALSE))</f>
        <v>100.5</v>
      </c>
      <c r="Y167" s="1">
        <f>ROUND((X167/6)*Weightings!$M$6,1)</f>
        <v>8.4</v>
      </c>
      <c r="Z167" s="1">
        <f>IF(ISNA(VLOOKUP($CZ167,'Audit Values'!$A$2:$AE$439,2,FALSE)),'Preliminary SO66'!F164,VLOOKUP($CZ167,'Audit Values'!$A$2:$AE$439,6,FALSE))</f>
        <v>1.1000000000000001</v>
      </c>
      <c r="AA167" s="1">
        <f>ROUND((Z167/6)*Weightings!$M$7,1)</f>
        <v>0.1</v>
      </c>
      <c r="AB167" s="2">
        <f>IF(ISNA(VLOOKUP($CZ167,'Audit Values'!$A$2:$AE$439,2,FALSE)),'Preliminary SO66'!H164,VLOOKUP($CZ167,'Audit Values'!$A$2:$AE$439,8,FALSE))</f>
        <v>94</v>
      </c>
      <c r="AC167" s="1">
        <f>ROUND(AB167*Weightings!$M$8,1)</f>
        <v>42.9</v>
      </c>
      <c r="AD167" s="1">
        <f t="shared" si="197"/>
        <v>0</v>
      </c>
      <c r="AE167" s="185">
        <v>39</v>
      </c>
      <c r="AF167" s="1">
        <f>AE167*Weightings!$M$9</f>
        <v>1.8</v>
      </c>
      <c r="AG167" s="1">
        <f>IF(ISNA(VLOOKUP($CZ167,'Audit Values'!$A$2:$AE$439,2,FALSE)),'Preliminary SO66'!L164,VLOOKUP($CZ167,'Audit Values'!$A$2:$AE$439,12,FALSE))</f>
        <v>0</v>
      </c>
      <c r="AH167" s="1">
        <f>ROUND(AG167*Weightings!$M$10,1)</f>
        <v>0</v>
      </c>
      <c r="AI167" s="1">
        <f>IF(ISNA(VLOOKUP($CZ167,'Audit Values'!$A$2:$AE$439,2,FALSE)),'Preliminary SO66'!O164,VLOOKUP($CZ167,'Audit Values'!$A$2:$AE$439,15,FALSE))</f>
        <v>285</v>
      </c>
      <c r="AJ167" s="1">
        <f t="shared" si="210"/>
        <v>57.8</v>
      </c>
      <c r="AK167" s="1">
        <f>CC167/Weightings!$M$5</f>
        <v>0</v>
      </c>
      <c r="AL167" s="1">
        <f>CD167/Weightings!$M$5</f>
        <v>0</v>
      </c>
      <c r="AM167" s="1">
        <f>CH167/Weightings!$M$5</f>
        <v>0</v>
      </c>
      <c r="AN167" s="1">
        <f t="shared" si="211"/>
        <v>0</v>
      </c>
      <c r="AO167" s="1">
        <f>IF(ISNA(VLOOKUP($CZ167,'Audit Values'!$A$2:$AE$439,2,FALSE)),'Preliminary SO66'!X164,VLOOKUP($CZ167,'Audit Values'!$A$2:$AE$439,24,FALSE))</f>
        <v>0</v>
      </c>
      <c r="AP167" s="188">
        <v>604665</v>
      </c>
      <c r="AQ167" s="113">
        <f>AP167/Weightings!$M$5</f>
        <v>157.5</v>
      </c>
      <c r="AR167" s="113">
        <f t="shared" si="212"/>
        <v>1045</v>
      </c>
      <c r="AS167" s="1">
        <f t="shared" si="213"/>
        <v>1202.5</v>
      </c>
      <c r="AT167" s="1">
        <f t="shared" si="214"/>
        <v>1202.5</v>
      </c>
      <c r="AU167" s="2">
        <f t="shared" si="231"/>
        <v>0</v>
      </c>
      <c r="AV167" s="82">
        <f>IF(ISNA(VLOOKUP($CZ167,'Audit Values'!$A$2:$AC$360,2,FALSE)),"",IF(AND(Weightings!H167&gt;0,VLOOKUP($CZ167,'Audit Values'!$A$2:$AC$360,29,FALSE)&lt;Weightings!H167),Weightings!H167,VLOOKUP($CZ167,'Audit Values'!$A$2:$AC$360,29,FALSE)))</f>
        <v>12</v>
      </c>
      <c r="AW167" s="82" t="str">
        <f>IF(ISNA(VLOOKUP($CZ167,'Audit Values'!$A$2:$AD$360,2,FALSE)),"",VLOOKUP($CZ167,'Audit Values'!$A$2:$AD$360,30,FALSE))</f>
        <v>A</v>
      </c>
      <c r="AX167" s="82" t="str">
        <f>IF(Weightings!G167="","",IF(Weightings!I167="Pending","PX","R"))</f>
        <v>R</v>
      </c>
      <c r="AY167" s="114">
        <f>AR167*Weightings!$M$5+AU167</f>
        <v>4010710</v>
      </c>
      <c r="AZ167" s="2">
        <f>AT167*Weightings!$M$5+AU167</f>
        <v>4615195</v>
      </c>
      <c r="BA167" s="2">
        <f>IF(Weightings!G167&gt;0,Weightings!G167,'Preliminary SO66'!AB164)</f>
        <v>4621336</v>
      </c>
      <c r="BB167" s="2">
        <f t="shared" si="215"/>
        <v>4615195</v>
      </c>
      <c r="BC167" s="124"/>
      <c r="BD167" s="124">
        <f>Weightings!E167</f>
        <v>0</v>
      </c>
      <c r="BE167" s="124">
        <f>Weightings!F167</f>
        <v>0</v>
      </c>
      <c r="BF167" s="2">
        <f t="shared" si="216"/>
        <v>0</v>
      </c>
      <c r="BG167" s="2">
        <f t="shared" si="217"/>
        <v>4615195</v>
      </c>
      <c r="BH167" s="2">
        <f>MAX(ROUND(((AR167-AO167)*4433)+AP167,0),ROUND(((AR167-AO167)*4433)+Weightings!B167,0))</f>
        <v>5252706</v>
      </c>
      <c r="BI167" s="174">
        <v>0.3</v>
      </c>
      <c r="BJ167" s="2">
        <f t="shared" si="191"/>
        <v>1575812</v>
      </c>
      <c r="BK167" s="173">
        <v>1577940</v>
      </c>
      <c r="BL167" s="2">
        <f t="shared" si="194"/>
        <v>1575812</v>
      </c>
      <c r="BM167" s="3">
        <f t="shared" si="232"/>
        <v>0.3</v>
      </c>
      <c r="BN167" s="1">
        <f t="shared" si="218"/>
        <v>0</v>
      </c>
      <c r="BO167" s="4" t="b">
        <f t="shared" si="219"/>
        <v>0</v>
      </c>
      <c r="BP167" s="5">
        <f t="shared" si="220"/>
        <v>0</v>
      </c>
      <c r="BQ167" s="6">
        <f t="shared" si="195"/>
        <v>0</v>
      </c>
      <c r="BR167" s="4">
        <f t="shared" si="221"/>
        <v>0</v>
      </c>
      <c r="BS167" s="4" t="b">
        <f t="shared" si="222"/>
        <v>1</v>
      </c>
      <c r="BT167" s="4">
        <f t="shared" si="223"/>
        <v>484.11</v>
      </c>
      <c r="BU167" s="6">
        <f t="shared" si="196"/>
        <v>0.35127700000000001</v>
      </c>
      <c r="BV167" s="1">
        <f t="shared" si="224"/>
        <v>242.8</v>
      </c>
      <c r="BW167" s="1">
        <f t="shared" si="225"/>
        <v>0</v>
      </c>
      <c r="BX167" s="116">
        <v>94</v>
      </c>
      <c r="BY167" s="7">
        <f t="shared" si="233"/>
        <v>3.03</v>
      </c>
      <c r="BZ167" s="7">
        <f>IF(ROUND((Weightings!$P$5*BY167^Weightings!$P$6*Weightings!$P$8 ),2)&lt;Weightings!$P$7,Weightings!$P$7,ROUND((Weightings!$P$5*BY167^Weightings!$P$6*Weightings!$P$8 ),2))</f>
        <v>778.32</v>
      </c>
      <c r="CA167" s="8">
        <f>ROUND(BZ167/Weightings!$M$5,4)</f>
        <v>0.20280000000000001</v>
      </c>
      <c r="CB167" s="1">
        <f t="shared" si="234"/>
        <v>57.8</v>
      </c>
      <c r="CC167" s="173">
        <v>0</v>
      </c>
      <c r="CD167" s="173">
        <v>0</v>
      </c>
      <c r="CE167" s="173">
        <v>0</v>
      </c>
      <c r="CF167" s="177">
        <v>0</v>
      </c>
      <c r="CG167" s="2">
        <f>AS167*Weightings!$M$5*CF167</f>
        <v>0</v>
      </c>
      <c r="CH167" s="2">
        <f t="shared" si="198"/>
        <v>0</v>
      </c>
      <c r="CI167" s="117">
        <f t="shared" si="226"/>
        <v>0.13600000000000001</v>
      </c>
      <c r="CJ167" s="4">
        <f t="shared" si="227"/>
        <v>7.4</v>
      </c>
      <c r="CK167" s="1">
        <f t="shared" si="235"/>
        <v>0</v>
      </c>
      <c r="CL167" s="1">
        <f t="shared" si="236"/>
        <v>0</v>
      </c>
      <c r="CM167" s="1">
        <f t="shared" si="237"/>
        <v>0</v>
      </c>
      <c r="CN167" s="1">
        <f>IF(ISNA(VLOOKUP($CZ167,'Audit Values'!$A$2:$AE$439,2,FALSE)),'Preliminary SO66'!T164,VLOOKUP($CZ167,'Audit Values'!$A$2:$AE$439,20,FALSE))</f>
        <v>0</v>
      </c>
      <c r="CO167" s="1">
        <f t="shared" si="228"/>
        <v>0</v>
      </c>
      <c r="CP167" s="183">
        <v>0</v>
      </c>
      <c r="CQ167" s="1">
        <f t="shared" si="229"/>
        <v>0</v>
      </c>
      <c r="CR167" s="2">
        <f>IF(ISNA(VLOOKUP($CZ167,'Audit Values'!$A$2:$AE$439,2,FALSE)),'Preliminary SO66'!V164,VLOOKUP($CZ167,'Audit Values'!$A$2:$AE$439,22,FALSE))</f>
        <v>0</v>
      </c>
      <c r="CS167" s="1">
        <f t="shared" si="230"/>
        <v>0</v>
      </c>
      <c r="CT167" s="2">
        <f>IF(ISNA(VLOOKUP($CZ167,'Audit Values'!$A$2:$AE$439,2,FALSE)),'Preliminary SO66'!W164,VLOOKUP($CZ167,'Audit Values'!$A$2:$AE$439,23,FALSE))</f>
        <v>0</v>
      </c>
      <c r="CU167" s="1">
        <f t="shared" si="241"/>
        <v>0</v>
      </c>
      <c r="CV167" s="1">
        <f t="shared" si="242"/>
        <v>0</v>
      </c>
      <c r="CW167" s="176">
        <v>0</v>
      </c>
      <c r="CX167" s="2">
        <f>IF(CW167&gt;0,Weightings!$M$11*AR167,0)</f>
        <v>0</v>
      </c>
      <c r="CY167" s="2">
        <f t="shared" si="238"/>
        <v>0</v>
      </c>
      <c r="CZ167" s="108" t="s">
        <v>459</v>
      </c>
    </row>
    <row r="168" spans="1:104">
      <c r="A168" s="82">
        <v>373</v>
      </c>
      <c r="B168" s="4" t="s">
        <v>76</v>
      </c>
      <c r="C168" s="4" t="s">
        <v>795</v>
      </c>
      <c r="D168" s="1">
        <v>3389.7</v>
      </c>
      <c r="E168" s="1">
        <v>0</v>
      </c>
      <c r="F168" s="1">
        <f t="shared" si="240"/>
        <v>3389.7</v>
      </c>
      <c r="G168" s="1">
        <v>3349.9</v>
      </c>
      <c r="H168" s="1">
        <v>0</v>
      </c>
      <c r="I168" s="1">
        <f t="shared" si="201"/>
        <v>3349.9</v>
      </c>
      <c r="J168" s="1">
        <f t="shared" si="202"/>
        <v>3418.1</v>
      </c>
      <c r="K168" s="1">
        <f>IF(ISNA(VLOOKUP($CZ168,'Audit Values'!$A$2:$AE$439,2,FALSE)),'Preliminary SO66'!B165,VLOOKUP($CZ168,'Audit Values'!$A$2:$AE$439,31,FALSE))</f>
        <v>3345.4</v>
      </c>
      <c r="L168" s="1">
        <f t="shared" si="203"/>
        <v>3361.7</v>
      </c>
      <c r="M168" s="1">
        <f>IF(ISNA(VLOOKUP($CZ168,'Audit Values'!$A$2:$AE$439,2,FALSE)),'Preliminary SO66'!Z165,VLOOKUP($CZ168,'Audit Values'!$A$2:$AE$439,26,FALSE))</f>
        <v>0</v>
      </c>
      <c r="N168" s="1">
        <f t="shared" si="204"/>
        <v>3361.7</v>
      </c>
      <c r="O168" s="1">
        <f>IF(ISNA(VLOOKUP($CZ168,'Audit Values'!$A$2:$AE$439,2,FALSE)),'Preliminary SO66'!C165,IF(VLOOKUP($CZ168,'Audit Values'!$A$2:$AE$439,28,FALSE)="",VLOOKUP($CZ168,'Audit Values'!$A$2:$AE$439,3,FALSE),VLOOKUP($CZ168,'Audit Values'!$A$2:$AE$439,28,FALSE)))</f>
        <v>28</v>
      </c>
      <c r="P168" s="109">
        <f t="shared" si="205"/>
        <v>3373.4</v>
      </c>
      <c r="Q168" s="110">
        <f t="shared" si="206"/>
        <v>3446.1</v>
      </c>
      <c r="R168" s="111">
        <f t="shared" si="207"/>
        <v>3446.1</v>
      </c>
      <c r="S168" s="1">
        <f t="shared" si="208"/>
        <v>3389.7</v>
      </c>
      <c r="T168" s="1">
        <f t="shared" si="239"/>
        <v>72.7</v>
      </c>
      <c r="U168" s="1">
        <f t="shared" si="209"/>
        <v>118.8</v>
      </c>
      <c r="V168" s="1">
        <f t="shared" si="199"/>
        <v>0</v>
      </c>
      <c r="W168" s="1">
        <f t="shared" si="200"/>
        <v>118.8</v>
      </c>
      <c r="X168" s="1">
        <f>IF(ISNA(VLOOKUP($CZ168,'Audit Values'!$A$2:$AE$439,2,FALSE)),'Preliminary SO66'!D165,VLOOKUP($CZ168,'Audit Values'!$A$2:$AE$439,4,FALSE))</f>
        <v>702.8</v>
      </c>
      <c r="Y168" s="1">
        <f>ROUND((X168/6)*Weightings!$M$6,1)</f>
        <v>58.6</v>
      </c>
      <c r="Z168" s="1">
        <f>IF(ISNA(VLOOKUP($CZ168,'Audit Values'!$A$2:$AE$439,2,FALSE)),'Preliminary SO66'!F165,VLOOKUP($CZ168,'Audit Values'!$A$2:$AE$439,6,FALSE))</f>
        <v>526.6</v>
      </c>
      <c r="AA168" s="1">
        <f>ROUND((Z168/6)*Weightings!$M$7,1)</f>
        <v>34.700000000000003</v>
      </c>
      <c r="AB168" s="2">
        <f>IF(ISNA(VLOOKUP($CZ168,'Audit Values'!$A$2:$AE$439,2,FALSE)),'Preliminary SO66'!H165,VLOOKUP($CZ168,'Audit Values'!$A$2:$AE$439,8,FALSE))</f>
        <v>1571</v>
      </c>
      <c r="AC168" s="1">
        <f>ROUND(AB168*Weightings!$M$8,1)</f>
        <v>716.4</v>
      </c>
      <c r="AD168" s="1">
        <f t="shared" si="197"/>
        <v>124.3</v>
      </c>
      <c r="AE168" s="185">
        <v>240</v>
      </c>
      <c r="AF168" s="1">
        <f>AE168*Weightings!$M$9</f>
        <v>11.2</v>
      </c>
      <c r="AG168" s="1">
        <f>IF(ISNA(VLOOKUP($CZ168,'Audit Values'!$A$2:$AE$439,2,FALSE)),'Preliminary SO66'!L165,VLOOKUP($CZ168,'Audit Values'!$A$2:$AE$439,12,FALSE))</f>
        <v>0</v>
      </c>
      <c r="AH168" s="1">
        <f>ROUND(AG168*Weightings!$M$10,1)</f>
        <v>0</v>
      </c>
      <c r="AI168" s="1">
        <f>IF(ISNA(VLOOKUP($CZ168,'Audit Values'!$A$2:$AE$439,2,FALSE)),'Preliminary SO66'!O165,VLOOKUP($CZ168,'Audit Values'!$A$2:$AE$439,15,FALSE))</f>
        <v>336</v>
      </c>
      <c r="AJ168" s="1">
        <f t="shared" si="210"/>
        <v>71.099999999999994</v>
      </c>
      <c r="AK168" s="1">
        <f>CC168/Weightings!$M$5</f>
        <v>0</v>
      </c>
      <c r="AL168" s="1">
        <f>CD168/Weightings!$M$5</f>
        <v>0</v>
      </c>
      <c r="AM168" s="1">
        <f>CH168/Weightings!$M$5</f>
        <v>0</v>
      </c>
      <c r="AN168" s="1">
        <f t="shared" si="211"/>
        <v>76.3</v>
      </c>
      <c r="AO168" s="1">
        <f>IF(ISNA(VLOOKUP($CZ168,'Audit Values'!$A$2:$AE$439,2,FALSE)),'Preliminary SO66'!X165,VLOOKUP($CZ168,'Audit Values'!$A$2:$AE$439,24,FALSE))</f>
        <v>0</v>
      </c>
      <c r="AP168" s="188">
        <v>2866729</v>
      </c>
      <c r="AQ168" s="113">
        <f>AP168/Weightings!$M$5</f>
        <v>746.9</v>
      </c>
      <c r="AR168" s="113">
        <f t="shared" si="212"/>
        <v>4601.1000000000004</v>
      </c>
      <c r="AS168" s="1">
        <f t="shared" si="213"/>
        <v>5348</v>
      </c>
      <c r="AT168" s="1">
        <f t="shared" si="214"/>
        <v>5348</v>
      </c>
      <c r="AU168" s="2">
        <f t="shared" si="231"/>
        <v>0</v>
      </c>
      <c r="AV168" s="82">
        <f>IF(ISNA(VLOOKUP($CZ168,'Audit Values'!$A$2:$AC$360,2,FALSE)),"",IF(AND(Weightings!H168&gt;0,VLOOKUP($CZ168,'Audit Values'!$A$2:$AC$360,29,FALSE)&lt;Weightings!H168),Weightings!H168,VLOOKUP($CZ168,'Audit Values'!$A$2:$AC$360,29,FALSE)))</f>
        <v>24</v>
      </c>
      <c r="AW168" s="82" t="str">
        <f>IF(ISNA(VLOOKUP($CZ168,'Audit Values'!$A$2:$AD$360,2,FALSE)),"",VLOOKUP($CZ168,'Audit Values'!$A$2:$AD$360,30,FALSE))</f>
        <v>A</v>
      </c>
      <c r="AX168" s="82" t="str">
        <f>IF(Weightings!G168="","",IF(Weightings!I168="Pending","PX","R"))</f>
        <v/>
      </c>
      <c r="AY168" s="114">
        <f>AR168*Weightings!$M$5+AU168</f>
        <v>17659022</v>
      </c>
      <c r="AZ168" s="2">
        <f>AT168*Weightings!$M$5+AU168</f>
        <v>20525624</v>
      </c>
      <c r="BA168" s="2">
        <f>IF(Weightings!G168&gt;0,Weightings!G168,'Preliminary SO66'!AB165)</f>
        <v>21052581</v>
      </c>
      <c r="BB168" s="2">
        <f t="shared" si="215"/>
        <v>20525624</v>
      </c>
      <c r="BC168" s="124"/>
      <c r="BD168" s="124">
        <f>Weightings!E168</f>
        <v>0</v>
      </c>
      <c r="BE168" s="124">
        <f>Weightings!F168</f>
        <v>0</v>
      </c>
      <c r="BF168" s="2">
        <f t="shared" si="216"/>
        <v>0</v>
      </c>
      <c r="BG168" s="2">
        <f t="shared" si="217"/>
        <v>20525624</v>
      </c>
      <c r="BH168" s="2">
        <f>MAX(ROUND(((AR168-AO168)*4433)+AP168,0),ROUND(((AR168-AO168)*4433)+Weightings!B168,0))</f>
        <v>23427449</v>
      </c>
      <c r="BI168" s="174">
        <v>0.3</v>
      </c>
      <c r="BJ168" s="2">
        <f t="shared" si="191"/>
        <v>7028235</v>
      </c>
      <c r="BK168" s="173">
        <v>7170135</v>
      </c>
      <c r="BL168" s="2">
        <f t="shared" si="194"/>
        <v>7028235</v>
      </c>
      <c r="BM168" s="3">
        <f t="shared" si="232"/>
        <v>0.3</v>
      </c>
      <c r="BN168" s="1">
        <f t="shared" si="218"/>
        <v>0</v>
      </c>
      <c r="BO168" s="4" t="b">
        <f t="shared" si="219"/>
        <v>0</v>
      </c>
      <c r="BP168" s="5">
        <f t="shared" si="220"/>
        <v>0</v>
      </c>
      <c r="BQ168" s="6">
        <f t="shared" si="195"/>
        <v>0</v>
      </c>
      <c r="BR168" s="4">
        <f t="shared" si="221"/>
        <v>0</v>
      </c>
      <c r="BS168" s="4" t="b">
        <f t="shared" si="222"/>
        <v>0</v>
      </c>
      <c r="BT168" s="4">
        <f t="shared" si="223"/>
        <v>0</v>
      </c>
      <c r="BU168" s="6">
        <f t="shared" si="196"/>
        <v>0</v>
      </c>
      <c r="BV168" s="1">
        <f t="shared" si="224"/>
        <v>0</v>
      </c>
      <c r="BW168" s="1">
        <f t="shared" si="225"/>
        <v>118.8</v>
      </c>
      <c r="BX168" s="116">
        <v>133.5</v>
      </c>
      <c r="BY168" s="7">
        <f t="shared" si="233"/>
        <v>2.52</v>
      </c>
      <c r="BZ168" s="7">
        <f>IF(ROUND((Weightings!$P$5*BY168^Weightings!$P$6*Weightings!$P$8 ),2)&lt;Weightings!$P$7,Weightings!$P$7,ROUND((Weightings!$P$5*BY168^Weightings!$P$6*Weightings!$P$8 ),2))</f>
        <v>811.73</v>
      </c>
      <c r="CA168" s="8">
        <f>ROUND(BZ168/Weightings!$M$5,4)</f>
        <v>0.21149999999999999</v>
      </c>
      <c r="CB168" s="1">
        <f t="shared" si="234"/>
        <v>71.099999999999994</v>
      </c>
      <c r="CC168" s="173">
        <v>0</v>
      </c>
      <c r="CD168" s="173">
        <v>0</v>
      </c>
      <c r="CE168" s="173">
        <v>0</v>
      </c>
      <c r="CF168" s="177">
        <v>0</v>
      </c>
      <c r="CG168" s="2">
        <f>AS168*Weightings!$M$5*CF168</f>
        <v>0</v>
      </c>
      <c r="CH168" s="2">
        <f t="shared" si="198"/>
        <v>0</v>
      </c>
      <c r="CI168" s="117">
        <f t="shared" si="226"/>
        <v>0.46300000000000002</v>
      </c>
      <c r="CJ168" s="4">
        <f t="shared" si="227"/>
        <v>25.4</v>
      </c>
      <c r="CK168" s="1">
        <f t="shared" si="235"/>
        <v>0</v>
      </c>
      <c r="CL168" s="1">
        <f t="shared" si="236"/>
        <v>0</v>
      </c>
      <c r="CM168" s="1">
        <f t="shared" si="237"/>
        <v>124.3</v>
      </c>
      <c r="CN168" s="1">
        <f>IF(ISNA(VLOOKUP($CZ168,'Audit Values'!$A$2:$AE$439,2,FALSE)),'Preliminary SO66'!T165,VLOOKUP($CZ168,'Audit Values'!$A$2:$AE$439,20,FALSE))</f>
        <v>72.7</v>
      </c>
      <c r="CO168" s="1">
        <f t="shared" si="228"/>
        <v>76.3</v>
      </c>
      <c r="CP168" s="183">
        <v>0</v>
      </c>
      <c r="CQ168" s="1">
        <f t="shared" si="229"/>
        <v>0</v>
      </c>
      <c r="CR168" s="2">
        <f>IF(ISNA(VLOOKUP($CZ168,'Audit Values'!$A$2:$AE$439,2,FALSE)),'Preliminary SO66'!V165,VLOOKUP($CZ168,'Audit Values'!$A$2:$AE$439,22,FALSE))</f>
        <v>0</v>
      </c>
      <c r="CS168" s="1">
        <f t="shared" si="230"/>
        <v>0</v>
      </c>
      <c r="CT168" s="2">
        <f>IF(ISNA(VLOOKUP($CZ168,'Audit Values'!$A$2:$AE$439,2,FALSE)),'Preliminary SO66'!W165,VLOOKUP($CZ168,'Audit Values'!$A$2:$AE$439,23,FALSE))</f>
        <v>0</v>
      </c>
      <c r="CU168" s="1">
        <f t="shared" si="241"/>
        <v>0</v>
      </c>
      <c r="CV168" s="1">
        <f t="shared" si="242"/>
        <v>76.3</v>
      </c>
      <c r="CW168" s="176">
        <v>0</v>
      </c>
      <c r="CX168" s="2">
        <f>IF(CW168&gt;0,Weightings!$M$11*AR168,0)</f>
        <v>0</v>
      </c>
      <c r="CY168" s="2">
        <f t="shared" si="238"/>
        <v>0</v>
      </c>
      <c r="CZ168" s="108" t="s">
        <v>460</v>
      </c>
    </row>
    <row r="169" spans="1:104">
      <c r="A169" s="82">
        <v>374</v>
      </c>
      <c r="B169" s="4" t="s">
        <v>77</v>
      </c>
      <c r="C169" s="4" t="s">
        <v>796</v>
      </c>
      <c r="D169" s="1">
        <v>466.7</v>
      </c>
      <c r="E169" s="1">
        <v>0</v>
      </c>
      <c r="F169" s="1">
        <f t="shared" si="240"/>
        <v>466.7</v>
      </c>
      <c r="G169" s="1">
        <v>450.7</v>
      </c>
      <c r="H169" s="1">
        <v>0</v>
      </c>
      <c r="I169" s="1">
        <f t="shared" si="201"/>
        <v>450.7</v>
      </c>
      <c r="J169" s="1">
        <f t="shared" si="202"/>
        <v>445.5</v>
      </c>
      <c r="K169" s="1">
        <f>IF(ISNA(VLOOKUP($CZ169,'Audit Values'!$A$2:$AE$439,2,FALSE)),'Preliminary SO66'!B166,VLOOKUP($CZ169,'Audit Values'!$A$2:$AE$439,31,FALSE))</f>
        <v>443.5</v>
      </c>
      <c r="L169" s="1">
        <f t="shared" si="203"/>
        <v>453.6</v>
      </c>
      <c r="M169" s="1">
        <f>IF(ISNA(VLOOKUP($CZ169,'Audit Values'!$A$2:$AE$439,2,FALSE)),'Preliminary SO66'!Z166,VLOOKUP($CZ169,'Audit Values'!$A$2:$AE$439,26,FALSE))</f>
        <v>0</v>
      </c>
      <c r="N169" s="1">
        <f t="shared" si="204"/>
        <v>453.6</v>
      </c>
      <c r="O169" s="1">
        <f>IF(ISNA(VLOOKUP($CZ169,'Audit Values'!$A$2:$AE$439,2,FALSE)),'Preliminary SO66'!C166,IF(VLOOKUP($CZ169,'Audit Values'!$A$2:$AE$439,28,FALSE)="",VLOOKUP($CZ169,'Audit Values'!$A$2:$AE$439,3,FALSE),VLOOKUP($CZ169,'Audit Values'!$A$2:$AE$439,28,FALSE)))</f>
        <v>8.5</v>
      </c>
      <c r="P169" s="109">
        <f t="shared" si="205"/>
        <v>452</v>
      </c>
      <c r="Q169" s="110">
        <f t="shared" si="206"/>
        <v>454</v>
      </c>
      <c r="R169" s="111">
        <f t="shared" si="207"/>
        <v>454</v>
      </c>
      <c r="S169" s="1">
        <f t="shared" si="208"/>
        <v>462.1</v>
      </c>
      <c r="T169" s="1">
        <f t="shared" si="239"/>
        <v>2</v>
      </c>
      <c r="U169" s="1">
        <f t="shared" si="209"/>
        <v>198.3</v>
      </c>
      <c r="V169" s="1">
        <f t="shared" si="199"/>
        <v>198.3</v>
      </c>
      <c r="W169" s="1">
        <f t="shared" si="200"/>
        <v>0</v>
      </c>
      <c r="X169" s="1">
        <f>IF(ISNA(VLOOKUP($CZ169,'Audit Values'!$A$2:$AE$439,2,FALSE)),'Preliminary SO66'!D166,VLOOKUP($CZ169,'Audit Values'!$A$2:$AE$439,4,FALSE))</f>
        <v>0</v>
      </c>
      <c r="Y169" s="1">
        <f>ROUND((X169/6)*Weightings!$M$6,1)</f>
        <v>0</v>
      </c>
      <c r="Z169" s="1">
        <f>IF(ISNA(VLOOKUP($CZ169,'Audit Values'!$A$2:$AE$439,2,FALSE)),'Preliminary SO66'!F166,VLOOKUP($CZ169,'Audit Values'!$A$2:$AE$439,6,FALSE))</f>
        <v>912.5</v>
      </c>
      <c r="AA169" s="1">
        <f>ROUND((Z169/6)*Weightings!$M$7,1)</f>
        <v>60.1</v>
      </c>
      <c r="AB169" s="2">
        <f>IF(ISNA(VLOOKUP($CZ169,'Audit Values'!$A$2:$AE$439,2,FALSE)),'Preliminary SO66'!H166,VLOOKUP($CZ169,'Audit Values'!$A$2:$AE$439,8,FALSE))</f>
        <v>251</v>
      </c>
      <c r="AC169" s="1">
        <f>ROUND(AB169*Weightings!$M$8,1)</f>
        <v>114.5</v>
      </c>
      <c r="AD169" s="1">
        <f t="shared" si="197"/>
        <v>26.4</v>
      </c>
      <c r="AE169" s="185">
        <v>19</v>
      </c>
      <c r="AF169" s="1">
        <f>AE169*Weightings!$M$9</f>
        <v>0.9</v>
      </c>
      <c r="AG169" s="1">
        <f>IF(ISNA(VLOOKUP($CZ169,'Audit Values'!$A$2:$AE$439,2,FALSE)),'Preliminary SO66'!L166,VLOOKUP($CZ169,'Audit Values'!$A$2:$AE$439,12,FALSE))</f>
        <v>0</v>
      </c>
      <c r="AH169" s="1">
        <f>ROUND(AG169*Weightings!$M$10,1)</f>
        <v>0</v>
      </c>
      <c r="AI169" s="1">
        <f>IF(ISNA(VLOOKUP($CZ169,'Audit Values'!$A$2:$AE$439,2,FALSE)),'Preliminary SO66'!O166,VLOOKUP($CZ169,'Audit Values'!$A$2:$AE$439,15,FALSE))</f>
        <v>86</v>
      </c>
      <c r="AJ169" s="1">
        <f t="shared" si="210"/>
        <v>31.1</v>
      </c>
      <c r="AK169" s="1">
        <f>CC169/Weightings!$M$5</f>
        <v>0</v>
      </c>
      <c r="AL169" s="1">
        <f>CD169/Weightings!$M$5</f>
        <v>0</v>
      </c>
      <c r="AM169" s="1">
        <f>CH169/Weightings!$M$5</f>
        <v>0</v>
      </c>
      <c r="AN169" s="1">
        <f t="shared" si="211"/>
        <v>2.1</v>
      </c>
      <c r="AO169" s="1">
        <f>IF(ISNA(VLOOKUP($CZ169,'Audit Values'!$A$2:$AE$439,2,FALSE)),'Preliminary SO66'!X166,VLOOKUP($CZ169,'Audit Values'!$A$2:$AE$439,24,FALSE))</f>
        <v>0</v>
      </c>
      <c r="AP169" s="188">
        <v>265128</v>
      </c>
      <c r="AQ169" s="113">
        <f>AP169/Weightings!$M$5</f>
        <v>69.099999999999994</v>
      </c>
      <c r="AR169" s="113">
        <f t="shared" si="212"/>
        <v>895.5</v>
      </c>
      <c r="AS169" s="1">
        <f t="shared" si="213"/>
        <v>964.6</v>
      </c>
      <c r="AT169" s="1">
        <f t="shared" si="214"/>
        <v>964.6</v>
      </c>
      <c r="AU169" s="2">
        <f t="shared" si="231"/>
        <v>0</v>
      </c>
      <c r="AV169" s="82">
        <f>IF(ISNA(VLOOKUP($CZ169,'Audit Values'!$A$2:$AC$360,2,FALSE)),"",IF(AND(Weightings!H169&gt;0,VLOOKUP($CZ169,'Audit Values'!$A$2:$AC$360,29,FALSE)&lt;Weightings!H169),Weightings!H169,VLOOKUP($CZ169,'Audit Values'!$A$2:$AC$360,29,FALSE)))</f>
        <v>24</v>
      </c>
      <c r="AW169" s="82" t="str">
        <f>IF(ISNA(VLOOKUP($CZ169,'Audit Values'!$A$2:$AD$360,2,FALSE)),"",VLOOKUP($CZ169,'Audit Values'!$A$2:$AD$360,30,FALSE))</f>
        <v>A</v>
      </c>
      <c r="AX169" s="82" t="str">
        <f>IF(Weightings!G169="","",IF(Weightings!I169="Pending","PX","R"))</f>
        <v/>
      </c>
      <c r="AY169" s="114">
        <f>AR169*Weightings!$M$5+AU169</f>
        <v>3436929</v>
      </c>
      <c r="AZ169" s="2">
        <f>AT169*Weightings!$M$5+AU169</f>
        <v>3702135</v>
      </c>
      <c r="BA169" s="2">
        <f>IF(Weightings!G169&gt;0,Weightings!G169,'Preliminary SO66'!AB166)</f>
        <v>3840687</v>
      </c>
      <c r="BB169" s="2">
        <f t="shared" si="215"/>
        <v>3702135</v>
      </c>
      <c r="BC169" s="124"/>
      <c r="BD169" s="124">
        <f>Weightings!E169</f>
        <v>0</v>
      </c>
      <c r="BE169" s="124">
        <f>Weightings!F169</f>
        <v>0</v>
      </c>
      <c r="BF169" s="2">
        <f t="shared" si="216"/>
        <v>0</v>
      </c>
      <c r="BG169" s="2">
        <f t="shared" si="217"/>
        <v>3702135</v>
      </c>
      <c r="BH169" s="2">
        <f>MAX(ROUND(((AR169-AO169)*4433)+AP169,0),ROUND(((AR169-AO169)*4433)+Weightings!B169,0))</f>
        <v>4280794</v>
      </c>
      <c r="BI169" s="174">
        <v>0.3</v>
      </c>
      <c r="BJ169" s="2">
        <f t="shared" si="191"/>
        <v>1284238</v>
      </c>
      <c r="BK169" s="173">
        <v>1333178</v>
      </c>
      <c r="BL169" s="2">
        <f t="shared" si="194"/>
        <v>1284238</v>
      </c>
      <c r="BM169" s="3">
        <f t="shared" si="232"/>
        <v>0.3</v>
      </c>
      <c r="BN169" s="1">
        <f t="shared" si="218"/>
        <v>0</v>
      </c>
      <c r="BO169" s="4" t="b">
        <f t="shared" si="219"/>
        <v>0</v>
      </c>
      <c r="BP169" s="5">
        <f t="shared" si="220"/>
        <v>0</v>
      </c>
      <c r="BQ169" s="6">
        <f t="shared" si="195"/>
        <v>0</v>
      </c>
      <c r="BR169" s="4">
        <f t="shared" si="221"/>
        <v>0</v>
      </c>
      <c r="BS169" s="4" t="b">
        <f t="shared" si="222"/>
        <v>1</v>
      </c>
      <c r="BT169" s="4">
        <f t="shared" si="223"/>
        <v>200.59880000000001</v>
      </c>
      <c r="BU169" s="6">
        <f t="shared" si="196"/>
        <v>0.42911300000000002</v>
      </c>
      <c r="BV169" s="1">
        <f t="shared" si="224"/>
        <v>198.3</v>
      </c>
      <c r="BW169" s="1">
        <f t="shared" si="225"/>
        <v>0</v>
      </c>
      <c r="BX169" s="116">
        <v>355.5</v>
      </c>
      <c r="BY169" s="7">
        <f t="shared" si="233"/>
        <v>0.24</v>
      </c>
      <c r="BZ169" s="7">
        <f>IF(ROUND((Weightings!$P$5*BY169^Weightings!$P$6*Weightings!$P$8 ),2)&lt;Weightings!$P$7,Weightings!$P$7,ROUND((Weightings!$P$5*BY169^Weightings!$P$6*Weightings!$P$8 ),2))</f>
        <v>1387.87</v>
      </c>
      <c r="CA169" s="8">
        <f>ROUND(BZ169/Weightings!$M$5,4)</f>
        <v>0.36159999999999998</v>
      </c>
      <c r="CB169" s="1">
        <f t="shared" si="234"/>
        <v>31.1</v>
      </c>
      <c r="CC169" s="173">
        <v>0</v>
      </c>
      <c r="CD169" s="173">
        <v>0</v>
      </c>
      <c r="CE169" s="173">
        <v>0</v>
      </c>
      <c r="CF169" s="177">
        <v>0</v>
      </c>
      <c r="CG169" s="2">
        <f>AS169*Weightings!$M$5*CF169</f>
        <v>0</v>
      </c>
      <c r="CH169" s="2">
        <f t="shared" si="198"/>
        <v>0</v>
      </c>
      <c r="CI169" s="117">
        <f t="shared" si="226"/>
        <v>0.54300000000000004</v>
      </c>
      <c r="CJ169" s="4">
        <f t="shared" si="227"/>
        <v>1.3</v>
      </c>
      <c r="CK169" s="1">
        <f t="shared" si="235"/>
        <v>26.4</v>
      </c>
      <c r="CL169" s="1">
        <f t="shared" si="236"/>
        <v>0</v>
      </c>
      <c r="CM169" s="1">
        <f t="shared" si="237"/>
        <v>0</v>
      </c>
      <c r="CN169" s="1">
        <f>IF(ISNA(VLOOKUP($CZ169,'Audit Values'!$A$2:$AE$439,2,FALSE)),'Preliminary SO66'!T166,VLOOKUP($CZ169,'Audit Values'!$A$2:$AE$439,20,FALSE))</f>
        <v>2</v>
      </c>
      <c r="CO169" s="1">
        <f t="shared" si="228"/>
        <v>2.1</v>
      </c>
      <c r="CP169" s="183">
        <v>0</v>
      </c>
      <c r="CQ169" s="1">
        <f t="shared" si="229"/>
        <v>0</v>
      </c>
      <c r="CR169" s="2">
        <f>IF(ISNA(VLOOKUP($CZ169,'Audit Values'!$A$2:$AE$439,2,FALSE)),'Preliminary SO66'!V166,VLOOKUP($CZ169,'Audit Values'!$A$2:$AE$439,22,FALSE))</f>
        <v>0</v>
      </c>
      <c r="CS169" s="1">
        <f t="shared" si="230"/>
        <v>0</v>
      </c>
      <c r="CT169" s="2">
        <f>IF(ISNA(VLOOKUP($CZ169,'Audit Values'!$A$2:$AE$439,2,FALSE)),'Preliminary SO66'!W166,VLOOKUP($CZ169,'Audit Values'!$A$2:$AE$439,23,FALSE))</f>
        <v>0</v>
      </c>
      <c r="CU169" s="1">
        <f t="shared" si="241"/>
        <v>0</v>
      </c>
      <c r="CV169" s="1">
        <f t="shared" si="242"/>
        <v>2.1</v>
      </c>
      <c r="CW169" s="176">
        <v>0</v>
      </c>
      <c r="CX169" s="2">
        <f>IF(CW169&gt;0,Weightings!$M$11*AR169,0)</f>
        <v>0</v>
      </c>
      <c r="CY169" s="2">
        <f t="shared" si="238"/>
        <v>0</v>
      </c>
      <c r="CZ169" s="108" t="s">
        <v>461</v>
      </c>
    </row>
    <row r="170" spans="1:104">
      <c r="A170" s="82">
        <v>375</v>
      </c>
      <c r="B170" s="4" t="s">
        <v>12</v>
      </c>
      <c r="C170" s="4" t="s">
        <v>797</v>
      </c>
      <c r="D170" s="1">
        <v>1789.8</v>
      </c>
      <c r="E170" s="1">
        <v>0</v>
      </c>
      <c r="F170" s="1">
        <f t="shared" si="240"/>
        <v>1789.8</v>
      </c>
      <c r="G170" s="1">
        <v>1811</v>
      </c>
      <c r="H170" s="1">
        <v>0</v>
      </c>
      <c r="I170" s="1">
        <f t="shared" si="201"/>
        <v>1811</v>
      </c>
      <c r="J170" s="1">
        <f t="shared" si="202"/>
        <v>1826.4</v>
      </c>
      <c r="K170" s="1">
        <f>IF(ISNA(VLOOKUP($CZ170,'Audit Values'!$A$2:$AE$439,2,FALSE)),'Preliminary SO66'!B167,VLOOKUP($CZ170,'Audit Values'!$A$2:$AE$439,31,FALSE))</f>
        <v>1804.3</v>
      </c>
      <c r="L170" s="1">
        <f t="shared" si="203"/>
        <v>1811</v>
      </c>
      <c r="M170" s="1">
        <f>IF(ISNA(VLOOKUP($CZ170,'Audit Values'!$A$2:$AE$439,2,FALSE)),'Preliminary SO66'!Z167,VLOOKUP($CZ170,'Audit Values'!$A$2:$AE$439,26,FALSE))</f>
        <v>0</v>
      </c>
      <c r="N170" s="1">
        <f t="shared" si="204"/>
        <v>1811</v>
      </c>
      <c r="O170" s="1">
        <f>IF(ISNA(VLOOKUP($CZ170,'Audit Values'!$A$2:$AE$439,2,FALSE)),'Preliminary SO66'!C167,IF(VLOOKUP($CZ170,'Audit Values'!$A$2:$AE$439,28,FALSE)="",VLOOKUP($CZ170,'Audit Values'!$A$2:$AE$439,3,FALSE),VLOOKUP($CZ170,'Audit Values'!$A$2:$AE$439,28,FALSE)))</f>
        <v>0</v>
      </c>
      <c r="P170" s="109">
        <f t="shared" si="205"/>
        <v>1804.3</v>
      </c>
      <c r="Q170" s="110">
        <f t="shared" si="206"/>
        <v>1826.4</v>
      </c>
      <c r="R170" s="111">
        <f t="shared" si="207"/>
        <v>1826.4</v>
      </c>
      <c r="S170" s="1">
        <f t="shared" si="208"/>
        <v>1811</v>
      </c>
      <c r="T170" s="1">
        <f t="shared" si="239"/>
        <v>22.1</v>
      </c>
      <c r="U170" s="1">
        <f t="shared" si="209"/>
        <v>63.5</v>
      </c>
      <c r="V170" s="1">
        <f t="shared" si="199"/>
        <v>0</v>
      </c>
      <c r="W170" s="1">
        <f t="shared" si="200"/>
        <v>63.5</v>
      </c>
      <c r="X170" s="1">
        <f>IF(ISNA(VLOOKUP($CZ170,'Audit Values'!$A$2:$AE$439,2,FALSE)),'Preliminary SO66'!D167,VLOOKUP($CZ170,'Audit Values'!$A$2:$AE$439,4,FALSE))</f>
        <v>394.6</v>
      </c>
      <c r="Y170" s="1">
        <f>ROUND((X170/6)*Weightings!$M$6,1)</f>
        <v>32.9</v>
      </c>
      <c r="Z170" s="1">
        <f>IF(ISNA(VLOOKUP($CZ170,'Audit Values'!$A$2:$AE$439,2,FALSE)),'Preliminary SO66'!F167,VLOOKUP($CZ170,'Audit Values'!$A$2:$AE$439,6,FALSE))</f>
        <v>5.5</v>
      </c>
      <c r="AA170" s="1">
        <f>ROUND((Z170/6)*Weightings!$M$7,1)</f>
        <v>0.4</v>
      </c>
      <c r="AB170" s="2">
        <f>IF(ISNA(VLOOKUP($CZ170,'Audit Values'!$A$2:$AE$439,2,FALSE)),'Preliminary SO66'!H167,VLOOKUP($CZ170,'Audit Values'!$A$2:$AE$439,8,FALSE))</f>
        <v>424</v>
      </c>
      <c r="AC170" s="1">
        <f>ROUND(AB170*Weightings!$M$8,1)</f>
        <v>193.3</v>
      </c>
      <c r="AD170" s="1">
        <f t="shared" si="197"/>
        <v>0</v>
      </c>
      <c r="AE170" s="185">
        <v>159</v>
      </c>
      <c r="AF170" s="1">
        <f>AE170*Weightings!$M$9</f>
        <v>7.4</v>
      </c>
      <c r="AG170" s="1">
        <f>IF(ISNA(VLOOKUP($CZ170,'Audit Values'!$A$2:$AE$439,2,FALSE)),'Preliminary SO66'!L167,VLOOKUP($CZ170,'Audit Values'!$A$2:$AE$439,12,FALSE))</f>
        <v>96.4</v>
      </c>
      <c r="AH170" s="1">
        <f>ROUND(AG170*Weightings!$M$10,1)</f>
        <v>24.1</v>
      </c>
      <c r="AI170" s="1">
        <f>IF(ISNA(VLOOKUP($CZ170,'Audit Values'!$A$2:$AE$439,2,FALSE)),'Preliminary SO66'!O167,VLOOKUP($CZ170,'Audit Values'!$A$2:$AE$439,15,FALSE))</f>
        <v>696</v>
      </c>
      <c r="AJ170" s="1">
        <f t="shared" si="210"/>
        <v>132.69999999999999</v>
      </c>
      <c r="AK170" s="1">
        <f>CC170/Weightings!$M$5</f>
        <v>0</v>
      </c>
      <c r="AL170" s="1">
        <f>CD170/Weightings!$M$5</f>
        <v>0</v>
      </c>
      <c r="AM170" s="1">
        <f>CH170/Weightings!$M$5</f>
        <v>0</v>
      </c>
      <c r="AN170" s="1">
        <f t="shared" si="211"/>
        <v>23.2</v>
      </c>
      <c r="AO170" s="1">
        <f>IF(ISNA(VLOOKUP($CZ170,'Audit Values'!$A$2:$AE$439,2,FALSE)),'Preliminary SO66'!X167,VLOOKUP($CZ170,'Audit Values'!$A$2:$AE$439,24,FALSE))</f>
        <v>0</v>
      </c>
      <c r="AP170" s="188">
        <v>1636638</v>
      </c>
      <c r="AQ170" s="113">
        <f>AP170/Weightings!$M$5</f>
        <v>426.4</v>
      </c>
      <c r="AR170" s="113">
        <f t="shared" si="212"/>
        <v>2288.5</v>
      </c>
      <c r="AS170" s="1">
        <f t="shared" si="213"/>
        <v>2714.9</v>
      </c>
      <c r="AT170" s="1">
        <f t="shared" si="214"/>
        <v>2714.9</v>
      </c>
      <c r="AU170" s="2">
        <f t="shared" si="231"/>
        <v>295000</v>
      </c>
      <c r="AV170" s="82">
        <f>IF(ISNA(VLOOKUP($CZ170,'Audit Values'!$A$2:$AC$360,2,FALSE)),"",IF(AND(Weightings!H170&gt;0,VLOOKUP($CZ170,'Audit Values'!$A$2:$AC$360,29,FALSE)&lt;Weightings!H170),Weightings!H170,VLOOKUP($CZ170,'Audit Values'!$A$2:$AC$360,29,FALSE)))</f>
        <v>26</v>
      </c>
      <c r="AW170" s="82" t="str">
        <f>IF(ISNA(VLOOKUP($CZ170,'Audit Values'!$A$2:$AD$360,2,FALSE)),"",VLOOKUP($CZ170,'Audit Values'!$A$2:$AD$360,30,FALSE))</f>
        <v>A</v>
      </c>
      <c r="AX170" s="82" t="str">
        <f>IF(Weightings!G170="","",IF(Weightings!I170="Pending","PX","R"))</f>
        <v/>
      </c>
      <c r="AY170" s="114">
        <f>AR170*Weightings!$M$5+AU170</f>
        <v>9078263</v>
      </c>
      <c r="AZ170" s="2">
        <f>AT170*Weightings!$M$5+AU170</f>
        <v>10714786</v>
      </c>
      <c r="BA170" s="2">
        <f>IF(Weightings!G170&gt;0,Weightings!G170,'Preliminary SO66'!AB167)</f>
        <v>10858327</v>
      </c>
      <c r="BB170" s="2">
        <f t="shared" si="215"/>
        <v>10714786</v>
      </c>
      <c r="BC170" s="124"/>
      <c r="BD170" s="124">
        <f>Weightings!E170</f>
        <v>0</v>
      </c>
      <c r="BE170" s="124">
        <f>Weightings!F170</f>
        <v>0</v>
      </c>
      <c r="BF170" s="2">
        <f t="shared" si="216"/>
        <v>0</v>
      </c>
      <c r="BG170" s="2">
        <f t="shared" si="217"/>
        <v>10714786</v>
      </c>
      <c r="BH170" s="2">
        <f>MAX(ROUND(((AR170-AO170)*4433)+AP170,0),ROUND(((AR170-AO170)*4433)+Weightings!B170,0))</f>
        <v>11781559</v>
      </c>
      <c r="BI170" s="174">
        <v>0.3</v>
      </c>
      <c r="BJ170" s="2">
        <f t="shared" si="191"/>
        <v>3534468</v>
      </c>
      <c r="BK170" s="173">
        <v>3585838</v>
      </c>
      <c r="BL170" s="2">
        <f t="shared" si="194"/>
        <v>3534468</v>
      </c>
      <c r="BM170" s="3">
        <f t="shared" si="232"/>
        <v>0.3</v>
      </c>
      <c r="BN170" s="1">
        <f t="shared" si="218"/>
        <v>0</v>
      </c>
      <c r="BO170" s="4" t="b">
        <f t="shared" si="219"/>
        <v>0</v>
      </c>
      <c r="BP170" s="5">
        <f t="shared" si="220"/>
        <v>0</v>
      </c>
      <c r="BQ170" s="6">
        <f t="shared" si="195"/>
        <v>0</v>
      </c>
      <c r="BR170" s="4">
        <f t="shared" si="221"/>
        <v>0</v>
      </c>
      <c r="BS170" s="4" t="b">
        <f t="shared" si="222"/>
        <v>0</v>
      </c>
      <c r="BT170" s="4">
        <f t="shared" si="223"/>
        <v>0</v>
      </c>
      <c r="BU170" s="6">
        <f t="shared" si="196"/>
        <v>0</v>
      </c>
      <c r="BV170" s="1">
        <f t="shared" si="224"/>
        <v>0</v>
      </c>
      <c r="BW170" s="1">
        <f t="shared" si="225"/>
        <v>63.5</v>
      </c>
      <c r="BX170" s="116">
        <v>175</v>
      </c>
      <c r="BY170" s="7">
        <f t="shared" si="233"/>
        <v>3.98</v>
      </c>
      <c r="BZ170" s="7">
        <f>IF(ROUND((Weightings!$P$5*BY170^Weightings!$P$6*Weightings!$P$8 ),2)&lt;Weightings!$P$7,Weightings!$P$7,ROUND((Weightings!$P$5*BY170^Weightings!$P$6*Weightings!$P$8 ),2))</f>
        <v>731.37</v>
      </c>
      <c r="CA170" s="8">
        <f>ROUND(BZ170/Weightings!$M$5,4)</f>
        <v>0.19059999999999999</v>
      </c>
      <c r="CB170" s="1">
        <f t="shared" si="234"/>
        <v>132.69999999999999</v>
      </c>
      <c r="CC170" s="173">
        <v>0</v>
      </c>
      <c r="CD170" s="173">
        <v>0</v>
      </c>
      <c r="CE170" s="173">
        <v>0</v>
      </c>
      <c r="CF170" s="177">
        <v>0</v>
      </c>
      <c r="CG170" s="2">
        <f>AS170*Weightings!$M$5*CF170</f>
        <v>0</v>
      </c>
      <c r="CH170" s="2">
        <f t="shared" si="198"/>
        <v>0</v>
      </c>
      <c r="CI170" s="117">
        <f t="shared" si="226"/>
        <v>0.23400000000000001</v>
      </c>
      <c r="CJ170" s="4">
        <f t="shared" si="227"/>
        <v>10.3</v>
      </c>
      <c r="CK170" s="1">
        <f t="shared" si="235"/>
        <v>0</v>
      </c>
      <c r="CL170" s="1">
        <f t="shared" si="236"/>
        <v>0</v>
      </c>
      <c r="CM170" s="1">
        <f t="shared" si="237"/>
        <v>0</v>
      </c>
      <c r="CN170" s="1">
        <f>IF(ISNA(VLOOKUP($CZ170,'Audit Values'!$A$2:$AE$439,2,FALSE)),'Preliminary SO66'!T167,VLOOKUP($CZ170,'Audit Values'!$A$2:$AE$439,20,FALSE))</f>
        <v>22.1</v>
      </c>
      <c r="CO170" s="1">
        <f t="shared" si="228"/>
        <v>23.2</v>
      </c>
      <c r="CP170" s="183">
        <v>0</v>
      </c>
      <c r="CQ170" s="1">
        <f t="shared" si="229"/>
        <v>0</v>
      </c>
      <c r="CR170" s="2">
        <f>IF(ISNA(VLOOKUP($CZ170,'Audit Values'!$A$2:$AE$439,2,FALSE)),'Preliminary SO66'!V167,VLOOKUP($CZ170,'Audit Values'!$A$2:$AE$439,22,FALSE))</f>
        <v>0</v>
      </c>
      <c r="CS170" s="1">
        <f t="shared" si="230"/>
        <v>0</v>
      </c>
      <c r="CT170" s="2">
        <f>IF(ISNA(VLOOKUP($CZ170,'Audit Values'!$A$2:$AE$439,2,FALSE)),'Preliminary SO66'!W167,VLOOKUP($CZ170,'Audit Values'!$A$2:$AE$439,23,FALSE))</f>
        <v>0</v>
      </c>
      <c r="CU170" s="1">
        <f t="shared" si="241"/>
        <v>0</v>
      </c>
      <c r="CV170" s="1">
        <f t="shared" si="242"/>
        <v>23.2</v>
      </c>
      <c r="CW170" s="176">
        <v>295000</v>
      </c>
      <c r="CX170" s="2">
        <f>IF(CW170&gt;0,Weightings!$M$11*AR170,0)</f>
        <v>572125</v>
      </c>
      <c r="CY170" s="2">
        <f t="shared" si="238"/>
        <v>295000</v>
      </c>
      <c r="CZ170" s="108" t="s">
        <v>462</v>
      </c>
    </row>
    <row r="171" spans="1:104">
      <c r="A171" s="82">
        <v>376</v>
      </c>
      <c r="B171" s="4" t="s">
        <v>78</v>
      </c>
      <c r="C171" s="4" t="s">
        <v>798</v>
      </c>
      <c r="D171" s="1">
        <v>500.8</v>
      </c>
      <c r="E171" s="1">
        <v>0</v>
      </c>
      <c r="F171" s="1">
        <f t="shared" si="240"/>
        <v>500.8</v>
      </c>
      <c r="G171" s="1">
        <v>479.5</v>
      </c>
      <c r="H171" s="1">
        <v>0</v>
      </c>
      <c r="I171" s="1">
        <f t="shared" si="201"/>
        <v>479.5</v>
      </c>
      <c r="J171" s="1">
        <f t="shared" si="202"/>
        <v>495.4</v>
      </c>
      <c r="K171" s="1">
        <f>IF(ISNA(VLOOKUP($CZ171,'Audit Values'!$A$2:$AE$439,2,FALSE)),'Preliminary SO66'!B168,VLOOKUP($CZ171,'Audit Values'!$A$2:$AE$439,31,FALSE))</f>
        <v>495.4</v>
      </c>
      <c r="L171" s="1">
        <f t="shared" si="203"/>
        <v>495.4</v>
      </c>
      <c r="M171" s="1">
        <f>IF(ISNA(VLOOKUP($CZ171,'Audit Values'!$A$2:$AE$439,2,FALSE)),'Preliminary SO66'!Z168,VLOOKUP($CZ171,'Audit Values'!$A$2:$AE$439,26,FALSE))</f>
        <v>0</v>
      </c>
      <c r="N171" s="1">
        <f t="shared" si="204"/>
        <v>495.4</v>
      </c>
      <c r="O171" s="1">
        <f>IF(ISNA(VLOOKUP($CZ171,'Audit Values'!$A$2:$AE$439,2,FALSE)),'Preliminary SO66'!C168,IF(VLOOKUP($CZ171,'Audit Values'!$A$2:$AE$439,28,FALSE)="",VLOOKUP($CZ171,'Audit Values'!$A$2:$AE$439,3,FALSE),VLOOKUP($CZ171,'Audit Values'!$A$2:$AE$439,28,FALSE)))</f>
        <v>4.5</v>
      </c>
      <c r="P171" s="109">
        <f t="shared" si="205"/>
        <v>499.9</v>
      </c>
      <c r="Q171" s="110">
        <f t="shared" si="206"/>
        <v>499.9</v>
      </c>
      <c r="R171" s="111">
        <f t="shared" si="207"/>
        <v>499.9</v>
      </c>
      <c r="S171" s="1">
        <f t="shared" si="208"/>
        <v>499.9</v>
      </c>
      <c r="T171" s="1">
        <f t="shared" si="239"/>
        <v>0</v>
      </c>
      <c r="U171" s="1">
        <f t="shared" si="209"/>
        <v>208.1</v>
      </c>
      <c r="V171" s="1">
        <f t="shared" si="199"/>
        <v>208.1</v>
      </c>
      <c r="W171" s="1">
        <f t="shared" si="200"/>
        <v>0</v>
      </c>
      <c r="X171" s="1">
        <f>IF(ISNA(VLOOKUP($CZ171,'Audit Values'!$A$2:$AE$439,2,FALSE)),'Preliminary SO66'!D168,VLOOKUP($CZ171,'Audit Values'!$A$2:$AE$439,4,FALSE))</f>
        <v>131.4</v>
      </c>
      <c r="Y171" s="1">
        <f>ROUND((X171/6)*Weightings!$M$6,1)</f>
        <v>11</v>
      </c>
      <c r="Z171" s="1">
        <f>IF(ISNA(VLOOKUP($CZ171,'Audit Values'!$A$2:$AE$439,2,FALSE)),'Preliminary SO66'!F168,VLOOKUP($CZ171,'Audit Values'!$A$2:$AE$439,6,FALSE))</f>
        <v>6.7</v>
      </c>
      <c r="AA171" s="1">
        <f>ROUND((Z171/6)*Weightings!$M$7,1)</f>
        <v>0.4</v>
      </c>
      <c r="AB171" s="2">
        <f>IF(ISNA(VLOOKUP($CZ171,'Audit Values'!$A$2:$AE$439,2,FALSE)),'Preliminary SO66'!H168,VLOOKUP($CZ171,'Audit Values'!$A$2:$AE$439,8,FALSE))</f>
        <v>159</v>
      </c>
      <c r="AC171" s="1">
        <f>ROUND(AB171*Weightings!$M$8,1)</f>
        <v>72.5</v>
      </c>
      <c r="AD171" s="1">
        <f t="shared" si="197"/>
        <v>0</v>
      </c>
      <c r="AE171" s="185">
        <v>46</v>
      </c>
      <c r="AF171" s="1">
        <f>AE171*Weightings!$M$9</f>
        <v>2.1</v>
      </c>
      <c r="AG171" s="1">
        <f>IF(ISNA(VLOOKUP($CZ171,'Audit Values'!$A$2:$AE$439,2,FALSE)),'Preliminary SO66'!L168,VLOOKUP($CZ171,'Audit Values'!$A$2:$AE$439,12,FALSE))</f>
        <v>26.1</v>
      </c>
      <c r="AH171" s="1">
        <f>ROUND(AG171*Weightings!$M$10,1)</f>
        <v>6.5</v>
      </c>
      <c r="AI171" s="1">
        <f>IF(ISNA(VLOOKUP($CZ171,'Audit Values'!$A$2:$AE$439,2,FALSE)),'Preliminary SO66'!O168,VLOOKUP($CZ171,'Audit Values'!$A$2:$AE$439,15,FALSE))</f>
        <v>118.5</v>
      </c>
      <c r="AJ171" s="1">
        <f t="shared" si="210"/>
        <v>33</v>
      </c>
      <c r="AK171" s="1">
        <f>CC171/Weightings!$M$5</f>
        <v>0</v>
      </c>
      <c r="AL171" s="1">
        <f>CD171/Weightings!$M$5</f>
        <v>0</v>
      </c>
      <c r="AM171" s="1">
        <f>CH171/Weightings!$M$5</f>
        <v>0</v>
      </c>
      <c r="AN171" s="1">
        <f t="shared" si="211"/>
        <v>0</v>
      </c>
      <c r="AO171" s="1">
        <f>IF(ISNA(VLOOKUP($CZ171,'Audit Values'!$A$2:$AE$439,2,FALSE)),'Preliminary SO66'!X168,VLOOKUP($CZ171,'Audit Values'!$A$2:$AE$439,24,FALSE))</f>
        <v>0</v>
      </c>
      <c r="AP171" s="188">
        <v>592261.00000000012</v>
      </c>
      <c r="AQ171" s="113">
        <f>AP171/Weightings!$M$5</f>
        <v>154.30000000000001</v>
      </c>
      <c r="AR171" s="113">
        <f t="shared" si="212"/>
        <v>833.5</v>
      </c>
      <c r="AS171" s="1">
        <f t="shared" si="213"/>
        <v>987.8</v>
      </c>
      <c r="AT171" s="1">
        <f t="shared" si="214"/>
        <v>987.8</v>
      </c>
      <c r="AU171" s="2">
        <f t="shared" si="231"/>
        <v>0</v>
      </c>
      <c r="AV171" s="82">
        <f>IF(ISNA(VLOOKUP($CZ171,'Audit Values'!$A$2:$AC$360,2,FALSE)),"",IF(AND(Weightings!H171&gt;0,VLOOKUP($CZ171,'Audit Values'!$A$2:$AC$360,29,FALSE)&lt;Weightings!H171),Weightings!H171,VLOOKUP($CZ171,'Audit Values'!$A$2:$AC$360,29,FALSE)))</f>
        <v>11</v>
      </c>
      <c r="AW171" s="82" t="str">
        <f>IF(ISNA(VLOOKUP($CZ171,'Audit Values'!$A$2:$AD$360,2,FALSE)),"",VLOOKUP($CZ171,'Audit Values'!$A$2:$AD$360,30,FALSE))</f>
        <v>A</v>
      </c>
      <c r="AX171" s="82" t="str">
        <f>IF(Weightings!G171="","",IF(Weightings!I171="Pending","PX","R"))</f>
        <v/>
      </c>
      <c r="AY171" s="114">
        <f>AR171*Weightings!$M$5+AU171</f>
        <v>3198973</v>
      </c>
      <c r="AZ171" s="2">
        <f>AT171*Weightings!$M$5+AU171</f>
        <v>3791176</v>
      </c>
      <c r="BA171" s="2">
        <f>IF(Weightings!G171&gt;0,Weightings!G171,'Preliminary SO66'!AB168)</f>
        <v>3851433</v>
      </c>
      <c r="BB171" s="2">
        <f t="shared" si="215"/>
        <v>3791176</v>
      </c>
      <c r="BC171" s="124"/>
      <c r="BD171" s="124">
        <f>Weightings!E171</f>
        <v>0</v>
      </c>
      <c r="BE171" s="124">
        <f>Weightings!F171</f>
        <v>0</v>
      </c>
      <c r="BF171" s="2">
        <f t="shared" si="216"/>
        <v>0</v>
      </c>
      <c r="BG171" s="2">
        <f t="shared" si="217"/>
        <v>3791176</v>
      </c>
      <c r="BH171" s="2">
        <f>MAX(ROUND(((AR171-AO171)*4433)+AP171,0),ROUND(((AR171-AO171)*4433)+Weightings!B171,0))</f>
        <v>4305476</v>
      </c>
      <c r="BI171" s="174">
        <v>0.3</v>
      </c>
      <c r="BJ171" s="2">
        <f t="shared" si="191"/>
        <v>1291643</v>
      </c>
      <c r="BK171" s="173">
        <v>1300000</v>
      </c>
      <c r="BL171" s="2">
        <f t="shared" si="194"/>
        <v>1291643</v>
      </c>
      <c r="BM171" s="3">
        <f t="shared" si="232"/>
        <v>0.3</v>
      </c>
      <c r="BN171" s="1">
        <f t="shared" si="218"/>
        <v>0</v>
      </c>
      <c r="BO171" s="4" t="b">
        <f t="shared" si="219"/>
        <v>0</v>
      </c>
      <c r="BP171" s="5">
        <f t="shared" si="220"/>
        <v>0</v>
      </c>
      <c r="BQ171" s="6">
        <f t="shared" si="195"/>
        <v>0</v>
      </c>
      <c r="BR171" s="4">
        <f t="shared" si="221"/>
        <v>0</v>
      </c>
      <c r="BS171" s="4" t="b">
        <f t="shared" si="222"/>
        <v>1</v>
      </c>
      <c r="BT171" s="4">
        <f t="shared" si="223"/>
        <v>247.37629999999999</v>
      </c>
      <c r="BU171" s="6">
        <f t="shared" si="196"/>
        <v>0.416271</v>
      </c>
      <c r="BV171" s="1">
        <f t="shared" si="224"/>
        <v>208.1</v>
      </c>
      <c r="BW171" s="1">
        <f t="shared" si="225"/>
        <v>0</v>
      </c>
      <c r="BX171" s="116">
        <v>158</v>
      </c>
      <c r="BY171" s="7">
        <f t="shared" si="233"/>
        <v>0.75</v>
      </c>
      <c r="BZ171" s="7">
        <f>IF(ROUND((Weightings!$P$5*BY171^Weightings!$P$6*Weightings!$P$8 ),2)&lt;Weightings!$P$7,Weightings!$P$7,ROUND((Weightings!$P$5*BY171^Weightings!$P$6*Weightings!$P$8 ),2))</f>
        <v>1070.22</v>
      </c>
      <c r="CA171" s="8">
        <f>ROUND(BZ171/Weightings!$M$5,4)</f>
        <v>0.27879999999999999</v>
      </c>
      <c r="CB171" s="1">
        <f t="shared" si="234"/>
        <v>33</v>
      </c>
      <c r="CC171" s="173">
        <v>0</v>
      </c>
      <c r="CD171" s="173">
        <v>0</v>
      </c>
      <c r="CE171" s="173">
        <v>0</v>
      </c>
      <c r="CF171" s="177">
        <v>0</v>
      </c>
      <c r="CG171" s="2">
        <f>AS171*Weightings!$M$5*CF171</f>
        <v>0</v>
      </c>
      <c r="CH171" s="2">
        <f t="shared" si="198"/>
        <v>0</v>
      </c>
      <c r="CI171" s="117">
        <f t="shared" si="226"/>
        <v>0.318</v>
      </c>
      <c r="CJ171" s="4">
        <f t="shared" si="227"/>
        <v>3.2</v>
      </c>
      <c r="CK171" s="1">
        <f t="shared" si="235"/>
        <v>0</v>
      </c>
      <c r="CL171" s="1">
        <f t="shared" si="236"/>
        <v>0</v>
      </c>
      <c r="CM171" s="1">
        <f t="shared" si="237"/>
        <v>0</v>
      </c>
      <c r="CN171" s="1">
        <f>IF(ISNA(VLOOKUP($CZ171,'Audit Values'!$A$2:$AE$439,2,FALSE)),'Preliminary SO66'!T168,VLOOKUP($CZ171,'Audit Values'!$A$2:$AE$439,20,FALSE))</f>
        <v>0</v>
      </c>
      <c r="CO171" s="1">
        <f t="shared" si="228"/>
        <v>0</v>
      </c>
      <c r="CP171" s="183">
        <v>0</v>
      </c>
      <c r="CQ171" s="1">
        <f t="shared" si="229"/>
        <v>0</v>
      </c>
      <c r="CR171" s="2">
        <f>IF(ISNA(VLOOKUP($CZ171,'Audit Values'!$A$2:$AE$439,2,FALSE)),'Preliminary SO66'!V168,VLOOKUP($CZ171,'Audit Values'!$A$2:$AE$439,22,FALSE))</f>
        <v>0</v>
      </c>
      <c r="CS171" s="1">
        <f t="shared" si="230"/>
        <v>0</v>
      </c>
      <c r="CT171" s="2">
        <f>IF(ISNA(VLOOKUP($CZ171,'Audit Values'!$A$2:$AE$439,2,FALSE)),'Preliminary SO66'!W168,VLOOKUP($CZ171,'Audit Values'!$A$2:$AE$439,23,FALSE))</f>
        <v>0</v>
      </c>
      <c r="CU171" s="1">
        <f t="shared" si="241"/>
        <v>0</v>
      </c>
      <c r="CV171" s="1">
        <f t="shared" si="242"/>
        <v>0</v>
      </c>
      <c r="CW171" s="176">
        <v>0</v>
      </c>
      <c r="CX171" s="2">
        <f>IF(CW171&gt;0,Weightings!$M$11*AR171,0)</f>
        <v>0</v>
      </c>
      <c r="CY171" s="2">
        <f t="shared" si="238"/>
        <v>0</v>
      </c>
      <c r="CZ171" s="108" t="s">
        <v>463</v>
      </c>
    </row>
    <row r="172" spans="1:104">
      <c r="A172" s="82">
        <v>377</v>
      </c>
      <c r="B172" s="4" t="s">
        <v>79</v>
      </c>
      <c r="C172" s="4" t="s">
        <v>799</v>
      </c>
      <c r="D172" s="1">
        <v>613.1</v>
      </c>
      <c r="E172" s="1">
        <v>0</v>
      </c>
      <c r="F172" s="1">
        <f t="shared" si="240"/>
        <v>613.1</v>
      </c>
      <c r="G172" s="1">
        <v>599.20000000000005</v>
      </c>
      <c r="H172" s="1">
        <v>0</v>
      </c>
      <c r="I172" s="1">
        <f t="shared" si="201"/>
        <v>599.20000000000005</v>
      </c>
      <c r="J172" s="1">
        <f t="shared" si="202"/>
        <v>582</v>
      </c>
      <c r="K172" s="1">
        <f>IF(ISNA(VLOOKUP($CZ172,'Audit Values'!$A$2:$AE$439,2,FALSE)),'Preliminary SO66'!B169,VLOOKUP($CZ172,'Audit Values'!$A$2:$AE$439,31,FALSE))</f>
        <v>580</v>
      </c>
      <c r="L172" s="1">
        <f t="shared" si="203"/>
        <v>599.20000000000005</v>
      </c>
      <c r="M172" s="1">
        <f>IF(ISNA(VLOOKUP($CZ172,'Audit Values'!$A$2:$AE$439,2,FALSE)),'Preliminary SO66'!Z169,VLOOKUP($CZ172,'Audit Values'!$A$2:$AE$439,26,FALSE))</f>
        <v>0</v>
      </c>
      <c r="N172" s="1">
        <f t="shared" si="204"/>
        <v>599.20000000000005</v>
      </c>
      <c r="O172" s="1">
        <f>IF(ISNA(VLOOKUP($CZ172,'Audit Values'!$A$2:$AE$439,2,FALSE)),'Preliminary SO66'!C169,IF(VLOOKUP($CZ172,'Audit Values'!$A$2:$AE$439,28,FALSE)="",VLOOKUP($CZ172,'Audit Values'!$A$2:$AE$439,3,FALSE),VLOOKUP($CZ172,'Audit Values'!$A$2:$AE$439,28,FALSE)))</f>
        <v>6</v>
      </c>
      <c r="P172" s="109">
        <f t="shared" si="205"/>
        <v>586</v>
      </c>
      <c r="Q172" s="110">
        <f t="shared" si="206"/>
        <v>588</v>
      </c>
      <c r="R172" s="111">
        <f t="shared" si="207"/>
        <v>588</v>
      </c>
      <c r="S172" s="1">
        <f t="shared" si="208"/>
        <v>605.20000000000005</v>
      </c>
      <c r="T172" s="1">
        <f t="shared" si="239"/>
        <v>2</v>
      </c>
      <c r="U172" s="1">
        <f t="shared" si="209"/>
        <v>230.3</v>
      </c>
      <c r="V172" s="1">
        <f t="shared" si="199"/>
        <v>230.3</v>
      </c>
      <c r="W172" s="1">
        <f t="shared" si="200"/>
        <v>0</v>
      </c>
      <c r="X172" s="1">
        <f>IF(ISNA(VLOOKUP($CZ172,'Audit Values'!$A$2:$AE$439,2,FALSE)),'Preliminary SO66'!D169,VLOOKUP($CZ172,'Audit Values'!$A$2:$AE$439,4,FALSE))</f>
        <v>71.900000000000006</v>
      </c>
      <c r="Y172" s="1">
        <f>ROUND((X172/6)*Weightings!$M$6,1)</f>
        <v>6</v>
      </c>
      <c r="Z172" s="1">
        <f>IF(ISNA(VLOOKUP($CZ172,'Audit Values'!$A$2:$AE$439,2,FALSE)),'Preliminary SO66'!F169,VLOOKUP($CZ172,'Audit Values'!$A$2:$AE$439,6,FALSE))</f>
        <v>0</v>
      </c>
      <c r="AA172" s="1">
        <f>ROUND((Z172/6)*Weightings!$M$7,1)</f>
        <v>0</v>
      </c>
      <c r="AB172" s="2">
        <f>IF(ISNA(VLOOKUP($CZ172,'Audit Values'!$A$2:$AE$439,2,FALSE)),'Preliminary SO66'!H169,VLOOKUP($CZ172,'Audit Values'!$A$2:$AE$439,8,FALSE))</f>
        <v>259</v>
      </c>
      <c r="AC172" s="1">
        <f>ROUND(AB172*Weightings!$M$8,1)</f>
        <v>118.1</v>
      </c>
      <c r="AD172" s="1">
        <f t="shared" si="197"/>
        <v>14.1</v>
      </c>
      <c r="AE172" s="185">
        <v>69</v>
      </c>
      <c r="AF172" s="1">
        <f>AE172*Weightings!$M$9</f>
        <v>3.2</v>
      </c>
      <c r="AG172" s="1">
        <f>IF(ISNA(VLOOKUP($CZ172,'Audit Values'!$A$2:$AE$439,2,FALSE)),'Preliminary SO66'!L169,VLOOKUP($CZ172,'Audit Values'!$A$2:$AE$439,12,FALSE))</f>
        <v>0</v>
      </c>
      <c r="AH172" s="1">
        <f>ROUND(AG172*Weightings!$M$10,1)</f>
        <v>0</v>
      </c>
      <c r="AI172" s="1">
        <f>IF(ISNA(VLOOKUP($CZ172,'Audit Values'!$A$2:$AE$439,2,FALSE)),'Preliminary SO66'!O169,VLOOKUP($CZ172,'Audit Values'!$A$2:$AE$439,15,FALSE))</f>
        <v>389</v>
      </c>
      <c r="AJ172" s="1">
        <f t="shared" si="210"/>
        <v>99.2</v>
      </c>
      <c r="AK172" s="1">
        <f>CC172/Weightings!$M$5</f>
        <v>0</v>
      </c>
      <c r="AL172" s="1">
        <f>CD172/Weightings!$M$5</f>
        <v>0</v>
      </c>
      <c r="AM172" s="1">
        <f>CH172/Weightings!$M$5</f>
        <v>0</v>
      </c>
      <c r="AN172" s="1">
        <f t="shared" si="211"/>
        <v>2.1</v>
      </c>
      <c r="AO172" s="1">
        <f>IF(ISNA(VLOOKUP($CZ172,'Audit Values'!$A$2:$AE$439,2,FALSE)),'Preliminary SO66'!X169,VLOOKUP($CZ172,'Audit Values'!$A$2:$AE$439,24,FALSE))</f>
        <v>0</v>
      </c>
      <c r="AP172" s="188">
        <v>831851</v>
      </c>
      <c r="AQ172" s="113">
        <f>AP172/Weightings!$M$5</f>
        <v>216.7</v>
      </c>
      <c r="AR172" s="113">
        <f t="shared" si="212"/>
        <v>1078.2</v>
      </c>
      <c r="AS172" s="1">
        <f t="shared" si="213"/>
        <v>1294.9000000000001</v>
      </c>
      <c r="AT172" s="1">
        <f t="shared" si="214"/>
        <v>1294.9000000000001</v>
      </c>
      <c r="AU172" s="2">
        <f t="shared" si="231"/>
        <v>0</v>
      </c>
      <c r="AV172" s="82">
        <f>IF(ISNA(VLOOKUP($CZ172,'Audit Values'!$A$2:$AC$360,2,FALSE)),"",IF(AND(Weightings!H172&gt;0,VLOOKUP($CZ172,'Audit Values'!$A$2:$AC$360,29,FALSE)&lt;Weightings!H172),Weightings!H172,VLOOKUP($CZ172,'Audit Values'!$A$2:$AC$360,29,FALSE)))</f>
        <v>15</v>
      </c>
      <c r="AW172" s="82" t="str">
        <f>IF(ISNA(VLOOKUP($CZ172,'Audit Values'!$A$2:$AD$360,2,FALSE)),"",VLOOKUP($CZ172,'Audit Values'!$A$2:$AD$360,30,FALSE))</f>
        <v>A</v>
      </c>
      <c r="AX172" s="82" t="str">
        <f>IF(Weightings!G172="","",IF(Weightings!I172="Pending","PX","R"))</f>
        <v/>
      </c>
      <c r="AY172" s="114">
        <f>AR172*Weightings!$M$5+AU172</f>
        <v>4138132</v>
      </c>
      <c r="AZ172" s="2">
        <f>AT172*Weightings!$M$5+AU172</f>
        <v>4969826</v>
      </c>
      <c r="BA172" s="2">
        <f>IF(Weightings!G172&gt;0,Weightings!G172,'Preliminary SO66'!AB169)</f>
        <v>5073068</v>
      </c>
      <c r="BB172" s="2">
        <f t="shared" si="215"/>
        <v>4969826</v>
      </c>
      <c r="BC172" s="124"/>
      <c r="BD172" s="124">
        <f>Weightings!E172</f>
        <v>0</v>
      </c>
      <c r="BE172" s="124">
        <f>Weightings!F172</f>
        <v>0</v>
      </c>
      <c r="BF172" s="2">
        <f t="shared" si="216"/>
        <v>0</v>
      </c>
      <c r="BG172" s="2">
        <f t="shared" si="217"/>
        <v>4969826</v>
      </c>
      <c r="BH172" s="2">
        <f>MAX(ROUND(((AR172-AO172)*4433)+AP172,0),ROUND(((AR172-AO172)*4433)+Weightings!B172,0))</f>
        <v>5650313</v>
      </c>
      <c r="BI172" s="174">
        <v>0.3</v>
      </c>
      <c r="BJ172" s="2">
        <f t="shared" si="191"/>
        <v>1695094</v>
      </c>
      <c r="BK172" s="173">
        <v>1715916</v>
      </c>
      <c r="BL172" s="2">
        <f t="shared" si="194"/>
        <v>1695094</v>
      </c>
      <c r="BM172" s="3">
        <f t="shared" si="232"/>
        <v>0.3</v>
      </c>
      <c r="BN172" s="1">
        <f t="shared" si="218"/>
        <v>0</v>
      </c>
      <c r="BO172" s="4" t="b">
        <f t="shared" si="219"/>
        <v>0</v>
      </c>
      <c r="BP172" s="5">
        <f t="shared" si="220"/>
        <v>0</v>
      </c>
      <c r="BQ172" s="6">
        <f t="shared" si="195"/>
        <v>0</v>
      </c>
      <c r="BR172" s="4">
        <f t="shared" si="221"/>
        <v>0</v>
      </c>
      <c r="BS172" s="4" t="b">
        <f t="shared" si="222"/>
        <v>1</v>
      </c>
      <c r="BT172" s="4">
        <f t="shared" si="223"/>
        <v>377.685</v>
      </c>
      <c r="BU172" s="6">
        <f t="shared" si="196"/>
        <v>0.38049500000000003</v>
      </c>
      <c r="BV172" s="1">
        <f t="shared" si="224"/>
        <v>230.3</v>
      </c>
      <c r="BW172" s="1">
        <f t="shared" si="225"/>
        <v>0</v>
      </c>
      <c r="BX172" s="116">
        <v>350</v>
      </c>
      <c r="BY172" s="7">
        <f t="shared" si="233"/>
        <v>1.1100000000000001</v>
      </c>
      <c r="BZ172" s="7">
        <f>IF(ROUND((Weightings!$P$5*BY172^Weightings!$P$6*Weightings!$P$8 ),2)&lt;Weightings!$P$7,Weightings!$P$7,ROUND((Weightings!$P$5*BY172^Weightings!$P$6*Weightings!$P$8 ),2))</f>
        <v>978.67</v>
      </c>
      <c r="CA172" s="8">
        <f>ROUND(BZ172/Weightings!$M$5,4)</f>
        <v>0.255</v>
      </c>
      <c r="CB172" s="1">
        <f t="shared" si="234"/>
        <v>99.2</v>
      </c>
      <c r="CC172" s="173">
        <v>0</v>
      </c>
      <c r="CD172" s="173">
        <v>0</v>
      </c>
      <c r="CE172" s="173">
        <v>0</v>
      </c>
      <c r="CF172" s="177">
        <v>0</v>
      </c>
      <c r="CG172" s="2">
        <f>AS172*Weightings!$M$5*CF172</f>
        <v>0</v>
      </c>
      <c r="CH172" s="2">
        <f t="shared" si="198"/>
        <v>0</v>
      </c>
      <c r="CI172" s="117">
        <f t="shared" si="226"/>
        <v>0.42799999999999999</v>
      </c>
      <c r="CJ172" s="4">
        <f t="shared" si="227"/>
        <v>1.7</v>
      </c>
      <c r="CK172" s="1">
        <f t="shared" si="235"/>
        <v>0</v>
      </c>
      <c r="CL172" s="1">
        <f t="shared" si="236"/>
        <v>0</v>
      </c>
      <c r="CM172" s="1">
        <f t="shared" si="237"/>
        <v>14.1</v>
      </c>
      <c r="CN172" s="1">
        <f>IF(ISNA(VLOOKUP($CZ172,'Audit Values'!$A$2:$AE$439,2,FALSE)),'Preliminary SO66'!T169,VLOOKUP($CZ172,'Audit Values'!$A$2:$AE$439,20,FALSE))</f>
        <v>2</v>
      </c>
      <c r="CO172" s="1">
        <f t="shared" si="228"/>
        <v>2.1</v>
      </c>
      <c r="CP172" s="183">
        <v>0</v>
      </c>
      <c r="CQ172" s="1">
        <f t="shared" si="229"/>
        <v>0</v>
      </c>
      <c r="CR172" s="2">
        <f>IF(ISNA(VLOOKUP($CZ172,'Audit Values'!$A$2:$AE$439,2,FALSE)),'Preliminary SO66'!V169,VLOOKUP($CZ172,'Audit Values'!$A$2:$AE$439,22,FALSE))</f>
        <v>0</v>
      </c>
      <c r="CS172" s="1">
        <f t="shared" si="230"/>
        <v>0</v>
      </c>
      <c r="CT172" s="2">
        <f>IF(ISNA(VLOOKUP($CZ172,'Audit Values'!$A$2:$AE$439,2,FALSE)),'Preliminary SO66'!W169,VLOOKUP($CZ172,'Audit Values'!$A$2:$AE$439,23,FALSE))</f>
        <v>0</v>
      </c>
      <c r="CU172" s="1">
        <f t="shared" si="241"/>
        <v>0</v>
      </c>
      <c r="CV172" s="1">
        <f t="shared" si="242"/>
        <v>2.1</v>
      </c>
      <c r="CW172" s="176">
        <v>0</v>
      </c>
      <c r="CX172" s="2">
        <f>IF(CW172&gt;0,Weightings!$M$11*AR172,0)</f>
        <v>0</v>
      </c>
      <c r="CY172" s="2">
        <f t="shared" si="238"/>
        <v>0</v>
      </c>
      <c r="CZ172" s="108" t="s">
        <v>464</v>
      </c>
    </row>
    <row r="173" spans="1:104">
      <c r="A173" s="82">
        <v>378</v>
      </c>
      <c r="B173" s="4" t="s">
        <v>80</v>
      </c>
      <c r="C173" s="4" t="s">
        <v>800</v>
      </c>
      <c r="D173" s="1">
        <v>680.5</v>
      </c>
      <c r="E173" s="1">
        <v>11.5</v>
      </c>
      <c r="F173" s="1">
        <f t="shared" si="240"/>
        <v>692</v>
      </c>
      <c r="G173" s="1">
        <v>698</v>
      </c>
      <c r="H173" s="1">
        <v>0</v>
      </c>
      <c r="I173" s="1">
        <f t="shared" si="201"/>
        <v>698</v>
      </c>
      <c r="J173" s="1">
        <f t="shared" si="202"/>
        <v>685.8</v>
      </c>
      <c r="K173" s="1">
        <f>IF(ISNA(VLOOKUP($CZ173,'Audit Values'!$A$2:$AE$439,2,FALSE)),'Preliminary SO66'!B170,VLOOKUP($CZ173,'Audit Values'!$A$2:$AE$439,31,FALSE))</f>
        <v>685.8</v>
      </c>
      <c r="L173" s="1">
        <f t="shared" si="203"/>
        <v>698</v>
      </c>
      <c r="M173" s="1">
        <f>IF(ISNA(VLOOKUP($CZ173,'Audit Values'!$A$2:$AE$439,2,FALSE)),'Preliminary SO66'!Z170,VLOOKUP($CZ173,'Audit Values'!$A$2:$AE$439,26,FALSE))</f>
        <v>0</v>
      </c>
      <c r="N173" s="1">
        <f t="shared" si="204"/>
        <v>698</v>
      </c>
      <c r="O173" s="1">
        <f>IF(ISNA(VLOOKUP($CZ173,'Audit Values'!$A$2:$AE$439,2,FALSE)),'Preliminary SO66'!C170,IF(VLOOKUP($CZ173,'Audit Values'!$A$2:$AE$439,28,FALSE)="",VLOOKUP($CZ173,'Audit Values'!$A$2:$AE$439,3,FALSE),VLOOKUP($CZ173,'Audit Values'!$A$2:$AE$439,28,FALSE)))</f>
        <v>0</v>
      </c>
      <c r="P173" s="109">
        <f t="shared" si="205"/>
        <v>685.8</v>
      </c>
      <c r="Q173" s="110">
        <f t="shared" si="206"/>
        <v>685.8</v>
      </c>
      <c r="R173" s="111">
        <f t="shared" si="207"/>
        <v>685.8</v>
      </c>
      <c r="S173" s="1">
        <f t="shared" si="208"/>
        <v>698</v>
      </c>
      <c r="T173" s="1">
        <f t="shared" si="239"/>
        <v>0</v>
      </c>
      <c r="U173" s="1">
        <f t="shared" si="209"/>
        <v>243.6</v>
      </c>
      <c r="V173" s="1">
        <f t="shared" si="199"/>
        <v>243.6</v>
      </c>
      <c r="W173" s="1">
        <f t="shared" si="200"/>
        <v>0</v>
      </c>
      <c r="X173" s="1">
        <f>IF(ISNA(VLOOKUP($CZ173,'Audit Values'!$A$2:$AE$439,2,FALSE)),'Preliminary SO66'!D170,VLOOKUP($CZ173,'Audit Values'!$A$2:$AE$439,4,FALSE))</f>
        <v>147.19999999999999</v>
      </c>
      <c r="Y173" s="1">
        <f>ROUND((X173/6)*Weightings!$M$6,1)</f>
        <v>12.3</v>
      </c>
      <c r="Z173" s="1">
        <f>IF(ISNA(VLOOKUP($CZ173,'Audit Values'!$A$2:$AE$439,2,FALSE)),'Preliminary SO66'!F170,VLOOKUP($CZ173,'Audit Values'!$A$2:$AE$439,6,FALSE))</f>
        <v>0</v>
      </c>
      <c r="AA173" s="1">
        <f>ROUND((Z173/6)*Weightings!$M$7,1)</f>
        <v>0</v>
      </c>
      <c r="AB173" s="2">
        <f>IF(ISNA(VLOOKUP($CZ173,'Audit Values'!$A$2:$AE$439,2,FALSE)),'Preliminary SO66'!H170,VLOOKUP($CZ173,'Audit Values'!$A$2:$AE$439,8,FALSE))</f>
        <v>112</v>
      </c>
      <c r="AC173" s="1">
        <f>ROUND(AB173*Weightings!$M$8,1)</f>
        <v>51.1</v>
      </c>
      <c r="AD173" s="1">
        <f t="shared" si="197"/>
        <v>0</v>
      </c>
      <c r="AE173" s="185">
        <v>53</v>
      </c>
      <c r="AF173" s="1">
        <f>AE173*Weightings!$M$9</f>
        <v>2.5</v>
      </c>
      <c r="AG173" s="1">
        <f>IF(ISNA(VLOOKUP($CZ173,'Audit Values'!$A$2:$AE$439,2,FALSE)),'Preliminary SO66'!L170,VLOOKUP($CZ173,'Audit Values'!$A$2:$AE$439,12,FALSE))</f>
        <v>0</v>
      </c>
      <c r="AH173" s="1">
        <f>ROUND(AG173*Weightings!$M$10,1)</f>
        <v>0</v>
      </c>
      <c r="AI173" s="1">
        <f>IF(ISNA(VLOOKUP($CZ173,'Audit Values'!$A$2:$AE$439,2,FALSE)),'Preliminary SO66'!O170,VLOOKUP($CZ173,'Audit Values'!$A$2:$AE$439,15,FALSE))</f>
        <v>438</v>
      </c>
      <c r="AJ173" s="1">
        <f t="shared" si="210"/>
        <v>90.9</v>
      </c>
      <c r="AK173" s="1">
        <f>CC173/Weightings!$M$5</f>
        <v>0</v>
      </c>
      <c r="AL173" s="1">
        <f>CD173/Weightings!$M$5</f>
        <v>0</v>
      </c>
      <c r="AM173" s="1">
        <f>CH173/Weightings!$M$5</f>
        <v>0</v>
      </c>
      <c r="AN173" s="1">
        <f t="shared" si="211"/>
        <v>0</v>
      </c>
      <c r="AO173" s="1">
        <f>IF(ISNA(VLOOKUP($CZ173,'Audit Values'!$A$2:$AE$439,2,FALSE)),'Preliminary SO66'!X170,VLOOKUP($CZ173,'Audit Values'!$A$2:$AE$439,24,FALSE))</f>
        <v>0</v>
      </c>
      <c r="AP173" s="188">
        <v>717507</v>
      </c>
      <c r="AQ173" s="113">
        <f>AP173/Weightings!$M$5</f>
        <v>186.9</v>
      </c>
      <c r="AR173" s="113">
        <f t="shared" si="212"/>
        <v>1098.4000000000001</v>
      </c>
      <c r="AS173" s="1">
        <f t="shared" si="213"/>
        <v>1285.3</v>
      </c>
      <c r="AT173" s="1">
        <f t="shared" si="214"/>
        <v>1285.3</v>
      </c>
      <c r="AU173" s="2">
        <f t="shared" si="231"/>
        <v>0</v>
      </c>
      <c r="AV173" s="142">
        <f>IF(ISNA(VLOOKUP($CZ173,'Audit Values'!$A$2:$AC$360,2,FALSE)),"",IF(AND(Weightings!H173&gt;0,VLOOKUP($CZ173,'Audit Values'!$A$2:$AC$360,29,FALSE)&lt;Weightings!H173),Weightings!H173,VLOOKUP($CZ173,'Audit Values'!$A$2:$AC$360,29,FALSE)))</f>
        <v>11</v>
      </c>
      <c r="AW173" s="142" t="str">
        <f>IF(ISNA(VLOOKUP($CZ173,'Audit Values'!$A$2:$AD$360,2,FALSE)),"",VLOOKUP($CZ173,'Audit Values'!$A$2:$AD$360,30,FALSE))</f>
        <v>A</v>
      </c>
      <c r="AX173" s="159" t="str">
        <f>IF(Weightings!G173="","",IF(Weightings!I173="Pending","PX","R"))</f>
        <v/>
      </c>
      <c r="AY173" s="114">
        <f>AR173*Weightings!$M$5+AU173</f>
        <v>4215659</v>
      </c>
      <c r="AZ173" s="2">
        <f>AT173*Weightings!$M$5+AU173</f>
        <v>4932981</v>
      </c>
      <c r="BA173" s="2">
        <f>IF(Weightings!G173&gt;0,Weightings!G173,'Preliminary SO66'!AB170)</f>
        <v>5057333</v>
      </c>
      <c r="BB173" s="2">
        <f t="shared" si="215"/>
        <v>4932981</v>
      </c>
      <c r="BC173" s="124"/>
      <c r="BD173" s="124">
        <f>Weightings!E173</f>
        <v>-804</v>
      </c>
      <c r="BE173" s="124">
        <f>Weightings!F173</f>
        <v>0</v>
      </c>
      <c r="BF173" s="2">
        <f t="shared" si="216"/>
        <v>-804</v>
      </c>
      <c r="BG173" s="2">
        <f t="shared" si="217"/>
        <v>4932177</v>
      </c>
      <c r="BH173" s="2">
        <f>MAX(ROUND(((AR173-AO173)*4433)+AP173,0),ROUND(((AR173-AO173)*4433)+Weightings!B173,0))</f>
        <v>5586714</v>
      </c>
      <c r="BI173" s="174">
        <v>0.3</v>
      </c>
      <c r="BJ173" s="2">
        <f t="shared" si="191"/>
        <v>1676014</v>
      </c>
      <c r="BK173" s="173">
        <v>1715932</v>
      </c>
      <c r="BL173" s="2">
        <f t="shared" si="194"/>
        <v>1676014</v>
      </c>
      <c r="BM173" s="3">
        <f t="shared" si="232"/>
        <v>0.3</v>
      </c>
      <c r="BN173" s="1">
        <f t="shared" si="218"/>
        <v>0</v>
      </c>
      <c r="BO173" s="4" t="b">
        <f t="shared" si="219"/>
        <v>0</v>
      </c>
      <c r="BP173" s="5">
        <f t="shared" si="220"/>
        <v>0</v>
      </c>
      <c r="BQ173" s="6">
        <f t="shared" si="195"/>
        <v>0</v>
      </c>
      <c r="BR173" s="4">
        <f t="shared" si="221"/>
        <v>0</v>
      </c>
      <c r="BS173" s="4" t="b">
        <f t="shared" si="222"/>
        <v>1</v>
      </c>
      <c r="BT173" s="4">
        <f t="shared" si="223"/>
        <v>492.52499999999998</v>
      </c>
      <c r="BU173" s="6">
        <f t="shared" si="196"/>
        <v>0.348966</v>
      </c>
      <c r="BV173" s="1">
        <f t="shared" si="224"/>
        <v>243.6</v>
      </c>
      <c r="BW173" s="1">
        <f t="shared" si="225"/>
        <v>0</v>
      </c>
      <c r="BX173" s="116">
        <v>160</v>
      </c>
      <c r="BY173" s="7">
        <f t="shared" si="233"/>
        <v>2.74</v>
      </c>
      <c r="BZ173" s="7">
        <f>IF(ROUND((Weightings!$P$5*BY173^Weightings!$P$6*Weightings!$P$8 ),2)&lt;Weightings!$P$7,Weightings!$P$7,ROUND((Weightings!$P$5*BY173^Weightings!$P$6*Weightings!$P$8 ),2))</f>
        <v>796.38</v>
      </c>
      <c r="CA173" s="8">
        <f>ROUND(BZ173/Weightings!$M$5,4)</f>
        <v>0.20749999999999999</v>
      </c>
      <c r="CB173" s="1">
        <f t="shared" si="234"/>
        <v>90.9</v>
      </c>
      <c r="CC173" s="173">
        <v>0</v>
      </c>
      <c r="CD173" s="173">
        <v>0</v>
      </c>
      <c r="CE173" s="173">
        <v>0</v>
      </c>
      <c r="CF173" s="177">
        <v>0</v>
      </c>
      <c r="CG173" s="2">
        <f>AS173*Weightings!$M$5*CF173</f>
        <v>0</v>
      </c>
      <c r="CH173" s="2">
        <f t="shared" si="198"/>
        <v>0</v>
      </c>
      <c r="CI173" s="117">
        <f t="shared" si="226"/>
        <v>0.16</v>
      </c>
      <c r="CJ173" s="4">
        <f t="shared" si="227"/>
        <v>4.4000000000000004</v>
      </c>
      <c r="CK173" s="1">
        <f t="shared" si="235"/>
        <v>0</v>
      </c>
      <c r="CL173" s="1">
        <f t="shared" si="236"/>
        <v>0</v>
      </c>
      <c r="CM173" s="1">
        <f t="shared" si="237"/>
        <v>0</v>
      </c>
      <c r="CN173" s="1">
        <f>IF(ISNA(VLOOKUP($CZ173,'Audit Values'!$A$2:$AE$439,2,FALSE)),'Preliminary SO66'!T170,VLOOKUP($CZ173,'Audit Values'!$A$2:$AE$439,20,FALSE))</f>
        <v>0</v>
      </c>
      <c r="CO173" s="1">
        <f t="shared" si="228"/>
        <v>0</v>
      </c>
      <c r="CP173" s="183">
        <v>0</v>
      </c>
      <c r="CQ173" s="1">
        <f t="shared" si="229"/>
        <v>0</v>
      </c>
      <c r="CR173" s="2">
        <f>IF(ISNA(VLOOKUP($CZ173,'Audit Values'!$A$2:$AE$439,2,FALSE)),'Preliminary SO66'!V170,VLOOKUP($CZ173,'Audit Values'!$A$2:$AE$439,22,FALSE))</f>
        <v>0</v>
      </c>
      <c r="CS173" s="1">
        <f t="shared" si="230"/>
        <v>0</v>
      </c>
      <c r="CT173" s="2">
        <f>IF(ISNA(VLOOKUP($CZ173,'Audit Values'!$A$2:$AE$439,2,FALSE)),'Preliminary SO66'!W170,VLOOKUP($CZ173,'Audit Values'!$A$2:$AE$439,23,FALSE))</f>
        <v>0</v>
      </c>
      <c r="CU173" s="1">
        <f t="shared" si="241"/>
        <v>0</v>
      </c>
      <c r="CV173" s="1">
        <f t="shared" si="242"/>
        <v>0</v>
      </c>
      <c r="CW173" s="176">
        <v>0</v>
      </c>
      <c r="CX173" s="2">
        <f>IF(CW173&gt;0,Weightings!$M$11*AR173,0)</f>
        <v>0</v>
      </c>
      <c r="CY173" s="2">
        <f t="shared" si="238"/>
        <v>0</v>
      </c>
      <c r="CZ173" s="108" t="s">
        <v>465</v>
      </c>
    </row>
    <row r="174" spans="1:104">
      <c r="A174" s="82">
        <v>379</v>
      </c>
      <c r="B174" s="4" t="s">
        <v>81</v>
      </c>
      <c r="C174" s="4" t="s">
        <v>801</v>
      </c>
      <c r="D174" s="1">
        <v>1311.6</v>
      </c>
      <c r="E174" s="1">
        <v>17.5</v>
      </c>
      <c r="F174" s="1">
        <f t="shared" si="240"/>
        <v>1329.1</v>
      </c>
      <c r="G174" s="1">
        <v>1315.5</v>
      </c>
      <c r="H174" s="1">
        <v>21.4</v>
      </c>
      <c r="I174" s="1">
        <f t="shared" si="201"/>
        <v>1336.9</v>
      </c>
      <c r="J174" s="1">
        <f t="shared" si="202"/>
        <v>1357.6</v>
      </c>
      <c r="K174" s="1">
        <f>IF(ISNA(VLOOKUP($CZ174,'Audit Values'!$A$2:$AE$439,2,FALSE)),'Preliminary SO66'!B171,VLOOKUP($CZ174,'Audit Values'!$A$2:$AE$439,31,FALSE))</f>
        <v>1346.3</v>
      </c>
      <c r="L174" s="1">
        <f t="shared" si="203"/>
        <v>1346.3</v>
      </c>
      <c r="M174" s="1">
        <f>IF(ISNA(VLOOKUP($CZ174,'Audit Values'!$A$2:$AE$439,2,FALSE)),'Preliminary SO66'!Z171,VLOOKUP($CZ174,'Audit Values'!$A$2:$AE$439,26,FALSE))</f>
        <v>0</v>
      </c>
      <c r="N174" s="1">
        <f t="shared" si="204"/>
        <v>1346.3</v>
      </c>
      <c r="O174" s="1">
        <f>IF(ISNA(VLOOKUP($CZ174,'Audit Values'!$A$2:$AE$439,2,FALSE)),'Preliminary SO66'!C171,IF(VLOOKUP($CZ174,'Audit Values'!$A$2:$AE$439,28,FALSE)="",VLOOKUP($CZ174,'Audit Values'!$A$2:$AE$439,3,FALSE),VLOOKUP($CZ174,'Audit Values'!$A$2:$AE$439,28,FALSE)))</f>
        <v>0</v>
      </c>
      <c r="P174" s="109">
        <f t="shared" si="205"/>
        <v>1346.3</v>
      </c>
      <c r="Q174" s="110">
        <f t="shared" si="206"/>
        <v>1357.6</v>
      </c>
      <c r="R174" s="111">
        <f t="shared" si="207"/>
        <v>1357.6</v>
      </c>
      <c r="S174" s="1">
        <f t="shared" si="208"/>
        <v>1346.3</v>
      </c>
      <c r="T174" s="1">
        <f t="shared" si="239"/>
        <v>11.3</v>
      </c>
      <c r="U174" s="1">
        <f t="shared" si="209"/>
        <v>173.3</v>
      </c>
      <c r="V174" s="1">
        <f t="shared" si="199"/>
        <v>173.3</v>
      </c>
      <c r="W174" s="1">
        <f t="shared" si="200"/>
        <v>0</v>
      </c>
      <c r="X174" s="1">
        <f>IF(ISNA(VLOOKUP($CZ174,'Audit Values'!$A$2:$AE$439,2,FALSE)),'Preliminary SO66'!D171,VLOOKUP($CZ174,'Audit Values'!$A$2:$AE$439,4,FALSE))</f>
        <v>441.8</v>
      </c>
      <c r="Y174" s="1">
        <f>ROUND((X174/6)*Weightings!$M$6,1)</f>
        <v>36.799999999999997</v>
      </c>
      <c r="Z174" s="1">
        <f>IF(ISNA(VLOOKUP($CZ174,'Audit Values'!$A$2:$AE$439,2,FALSE)),'Preliminary SO66'!F171,VLOOKUP($CZ174,'Audit Values'!$A$2:$AE$439,6,FALSE))</f>
        <v>12.4</v>
      </c>
      <c r="AA174" s="1">
        <f>ROUND((Z174/6)*Weightings!$M$7,1)</f>
        <v>0.8</v>
      </c>
      <c r="AB174" s="2">
        <f>IF(ISNA(VLOOKUP($CZ174,'Audit Values'!$A$2:$AE$439,2,FALSE)),'Preliminary SO66'!H171,VLOOKUP($CZ174,'Audit Values'!$A$2:$AE$439,8,FALSE))</f>
        <v>425</v>
      </c>
      <c r="AC174" s="1">
        <f>ROUND(AB174*Weightings!$M$8,1)</f>
        <v>193.8</v>
      </c>
      <c r="AD174" s="1">
        <f t="shared" si="197"/>
        <v>0</v>
      </c>
      <c r="AE174" s="185">
        <v>72</v>
      </c>
      <c r="AF174" s="1">
        <f>AE174*Weightings!$M$9</f>
        <v>3.3</v>
      </c>
      <c r="AG174" s="1">
        <f>IF(ISNA(VLOOKUP($CZ174,'Audit Values'!$A$2:$AE$439,2,FALSE)),'Preliminary SO66'!L171,VLOOKUP($CZ174,'Audit Values'!$A$2:$AE$439,12,FALSE))</f>
        <v>0</v>
      </c>
      <c r="AH174" s="1">
        <f>ROUND(AG174*Weightings!$M$10,1)</f>
        <v>0</v>
      </c>
      <c r="AI174" s="1">
        <f>IF(ISNA(VLOOKUP($CZ174,'Audit Values'!$A$2:$AE$439,2,FALSE)),'Preliminary SO66'!O171,VLOOKUP($CZ174,'Audit Values'!$A$2:$AE$439,15,FALSE))</f>
        <v>434</v>
      </c>
      <c r="AJ174" s="1">
        <f t="shared" si="210"/>
        <v>123.3</v>
      </c>
      <c r="AK174" s="1">
        <f>CC174/Weightings!$M$5</f>
        <v>0</v>
      </c>
      <c r="AL174" s="1">
        <f>CD174/Weightings!$M$5</f>
        <v>0</v>
      </c>
      <c r="AM174" s="1">
        <f>CH174/Weightings!$M$5</f>
        <v>0</v>
      </c>
      <c r="AN174" s="1">
        <f t="shared" si="211"/>
        <v>11.9</v>
      </c>
      <c r="AO174" s="1">
        <f>IF(ISNA(VLOOKUP($CZ174,'Audit Values'!$A$2:$AE$439,2,FALSE)),'Preliminary SO66'!X171,VLOOKUP($CZ174,'Audit Values'!$A$2:$AE$439,24,FALSE))</f>
        <v>0</v>
      </c>
      <c r="AP174" s="188">
        <v>1189408</v>
      </c>
      <c r="AQ174" s="113">
        <f>AP174/Weightings!$M$5</f>
        <v>309.89999999999998</v>
      </c>
      <c r="AR174" s="113">
        <f t="shared" si="212"/>
        <v>1889.5</v>
      </c>
      <c r="AS174" s="1">
        <f t="shared" si="213"/>
        <v>2199.4</v>
      </c>
      <c r="AT174" s="1">
        <f t="shared" si="214"/>
        <v>2199.4</v>
      </c>
      <c r="AU174" s="2">
        <f t="shared" si="231"/>
        <v>0</v>
      </c>
      <c r="AV174" s="142">
        <f>IF(ISNA(VLOOKUP($CZ174,'Audit Values'!$A$2:$AC$360,2,FALSE)),"",IF(AND(Weightings!H174&gt;0,VLOOKUP($CZ174,'Audit Values'!$A$2:$AC$360,29,FALSE)&lt;Weightings!H174),Weightings!H174,VLOOKUP($CZ174,'Audit Values'!$A$2:$AC$360,29,FALSE)))</f>
        <v>22</v>
      </c>
      <c r="AW174" s="142" t="str">
        <f>IF(ISNA(VLOOKUP($CZ174,'Audit Values'!$A$2:$AD$360,2,FALSE)),"",VLOOKUP($CZ174,'Audit Values'!$A$2:$AD$360,30,FALSE))</f>
        <v>A</v>
      </c>
      <c r="AX174" s="159" t="str">
        <f>IF(Weightings!G174="","",IF(Weightings!I174="Pending","PX","R"))</f>
        <v/>
      </c>
      <c r="AY174" s="114">
        <f>AR174*Weightings!$M$5+AU174</f>
        <v>7251901</v>
      </c>
      <c r="AZ174" s="2">
        <f>AT174*Weightings!$M$5+AU174</f>
        <v>8441297</v>
      </c>
      <c r="BA174" s="2">
        <f>IF(Weightings!G174&gt;0,Weightings!G174,'Preliminary SO66'!AB171)</f>
        <v>8721087</v>
      </c>
      <c r="BB174" s="2">
        <f t="shared" si="215"/>
        <v>8441297</v>
      </c>
      <c r="BC174" s="124"/>
      <c r="BD174" s="124">
        <f>Weightings!E174</f>
        <v>-1096</v>
      </c>
      <c r="BE174" s="124">
        <f>Weightings!F174</f>
        <v>0</v>
      </c>
      <c r="BF174" s="2">
        <f t="shared" si="216"/>
        <v>-1096</v>
      </c>
      <c r="BG174" s="2">
        <f t="shared" si="217"/>
        <v>8440201</v>
      </c>
      <c r="BH174" s="2">
        <f>MAX(ROUND(((AR174-AO174)*4433)+AP174,0),ROUND(((AR174-AO174)*4433)+Weightings!B174,0))</f>
        <v>9575550</v>
      </c>
      <c r="BI174" s="174">
        <v>0.3</v>
      </c>
      <c r="BJ174" s="2">
        <f t="shared" si="191"/>
        <v>2872665</v>
      </c>
      <c r="BK174" s="173">
        <v>2956465</v>
      </c>
      <c r="BL174" s="2">
        <f t="shared" si="194"/>
        <v>2872665</v>
      </c>
      <c r="BM174" s="3">
        <f t="shared" si="232"/>
        <v>0.3</v>
      </c>
      <c r="BN174" s="1">
        <f t="shared" si="218"/>
        <v>0</v>
      </c>
      <c r="BO174" s="4" t="b">
        <f t="shared" si="219"/>
        <v>0</v>
      </c>
      <c r="BP174" s="5">
        <f t="shared" si="220"/>
        <v>0</v>
      </c>
      <c r="BQ174" s="6">
        <f t="shared" si="195"/>
        <v>0</v>
      </c>
      <c r="BR174" s="4">
        <f t="shared" si="221"/>
        <v>0</v>
      </c>
      <c r="BS174" s="4" t="b">
        <f t="shared" si="222"/>
        <v>1</v>
      </c>
      <c r="BT174" s="4">
        <f t="shared" si="223"/>
        <v>1294.7963</v>
      </c>
      <c r="BU174" s="6">
        <f t="shared" si="196"/>
        <v>0.12870699999999999</v>
      </c>
      <c r="BV174" s="1">
        <f t="shared" si="224"/>
        <v>173.3</v>
      </c>
      <c r="BW174" s="1">
        <f t="shared" si="225"/>
        <v>0</v>
      </c>
      <c r="BX174" s="116">
        <v>632.5</v>
      </c>
      <c r="BY174" s="7">
        <f t="shared" si="233"/>
        <v>0.69</v>
      </c>
      <c r="BZ174" s="7">
        <f>IF(ROUND((Weightings!$P$5*BY174^Weightings!$P$6*Weightings!$P$8 ),2)&lt;Weightings!$P$7,Weightings!$P$7,ROUND((Weightings!$P$5*BY174^Weightings!$P$6*Weightings!$P$8 ),2))</f>
        <v>1090.77</v>
      </c>
      <c r="CA174" s="8">
        <f>ROUND(BZ174/Weightings!$M$5,4)</f>
        <v>0.28420000000000001</v>
      </c>
      <c r="CB174" s="1">
        <f t="shared" si="234"/>
        <v>123.3</v>
      </c>
      <c r="CC174" s="173">
        <v>0</v>
      </c>
      <c r="CD174" s="173">
        <v>0</v>
      </c>
      <c r="CE174" s="173">
        <v>0</v>
      </c>
      <c r="CF174" s="177">
        <v>0</v>
      </c>
      <c r="CG174" s="2">
        <f>AS174*Weightings!$M$5*CF174</f>
        <v>0</v>
      </c>
      <c r="CH174" s="2">
        <f t="shared" si="198"/>
        <v>0</v>
      </c>
      <c r="CI174" s="117">
        <f t="shared" si="226"/>
        <v>0.316</v>
      </c>
      <c r="CJ174" s="4">
        <f t="shared" si="227"/>
        <v>2.1</v>
      </c>
      <c r="CK174" s="1">
        <f t="shared" si="235"/>
        <v>0</v>
      </c>
      <c r="CL174" s="1">
        <f t="shared" si="236"/>
        <v>0</v>
      </c>
      <c r="CM174" s="1">
        <f t="shared" si="237"/>
        <v>0</v>
      </c>
      <c r="CN174" s="1">
        <f>IF(ISNA(VLOOKUP($CZ174,'Audit Values'!$A$2:$AE$439,2,FALSE)),'Preliminary SO66'!T171,VLOOKUP($CZ174,'Audit Values'!$A$2:$AE$439,20,FALSE))</f>
        <v>11.3</v>
      </c>
      <c r="CO174" s="1">
        <f t="shared" si="228"/>
        <v>11.9</v>
      </c>
      <c r="CP174" s="183">
        <v>0</v>
      </c>
      <c r="CQ174" s="1">
        <f t="shared" si="229"/>
        <v>0</v>
      </c>
      <c r="CR174" s="2">
        <f>IF(ISNA(VLOOKUP($CZ174,'Audit Values'!$A$2:$AE$439,2,FALSE)),'Preliminary SO66'!V171,VLOOKUP($CZ174,'Audit Values'!$A$2:$AE$439,22,FALSE))</f>
        <v>0</v>
      </c>
      <c r="CS174" s="1">
        <f t="shared" si="230"/>
        <v>0</v>
      </c>
      <c r="CT174" s="2">
        <f>IF(ISNA(VLOOKUP($CZ174,'Audit Values'!$A$2:$AE$439,2,FALSE)),'Preliminary SO66'!W171,VLOOKUP($CZ174,'Audit Values'!$A$2:$AE$439,23,FALSE))</f>
        <v>0</v>
      </c>
      <c r="CU174" s="1">
        <f t="shared" si="241"/>
        <v>0</v>
      </c>
      <c r="CV174" s="1">
        <f t="shared" si="242"/>
        <v>11.9</v>
      </c>
      <c r="CW174" s="176">
        <v>0</v>
      </c>
      <c r="CX174" s="2">
        <f>IF(CW174&gt;0,Weightings!$M$11*AR174,0)</f>
        <v>0</v>
      </c>
      <c r="CY174" s="2">
        <f t="shared" si="238"/>
        <v>0</v>
      </c>
      <c r="CZ174" s="108" t="s">
        <v>466</v>
      </c>
    </row>
    <row r="175" spans="1:104">
      <c r="A175" s="82">
        <v>380</v>
      </c>
      <c r="B175" s="4" t="s">
        <v>72</v>
      </c>
      <c r="C175" s="4" t="s">
        <v>802</v>
      </c>
      <c r="D175" s="1">
        <v>486.1</v>
      </c>
      <c r="E175" s="1">
        <v>0</v>
      </c>
      <c r="F175" s="1">
        <f t="shared" si="240"/>
        <v>486.1</v>
      </c>
      <c r="G175" s="1">
        <v>502</v>
      </c>
      <c r="H175" s="1">
        <v>0</v>
      </c>
      <c r="I175" s="1">
        <f t="shared" si="201"/>
        <v>502</v>
      </c>
      <c r="J175" s="1">
        <f t="shared" si="202"/>
        <v>515.5</v>
      </c>
      <c r="K175" s="1">
        <f>IF(ISNA(VLOOKUP($CZ175,'Audit Values'!$A$2:$AE$439,2,FALSE)),'Preliminary SO66'!B172,VLOOKUP($CZ175,'Audit Values'!$A$2:$AE$439,31,FALSE))</f>
        <v>515.5</v>
      </c>
      <c r="L175" s="1">
        <f t="shared" si="203"/>
        <v>515.5</v>
      </c>
      <c r="M175" s="1">
        <f>IF(ISNA(VLOOKUP($CZ175,'Audit Values'!$A$2:$AE$439,2,FALSE)),'Preliminary SO66'!Z172,VLOOKUP($CZ175,'Audit Values'!$A$2:$AE$439,26,FALSE))</f>
        <v>0</v>
      </c>
      <c r="N175" s="1">
        <f t="shared" si="204"/>
        <v>515.5</v>
      </c>
      <c r="O175" s="1">
        <f>IF(ISNA(VLOOKUP($CZ175,'Audit Values'!$A$2:$AE$439,2,FALSE)),'Preliminary SO66'!C172,IF(VLOOKUP($CZ175,'Audit Values'!$A$2:$AE$439,28,FALSE)="",VLOOKUP($CZ175,'Audit Values'!$A$2:$AE$439,3,FALSE),VLOOKUP($CZ175,'Audit Values'!$A$2:$AE$439,28,FALSE)))</f>
        <v>9</v>
      </c>
      <c r="P175" s="109">
        <f t="shared" si="205"/>
        <v>524.5</v>
      </c>
      <c r="Q175" s="110">
        <f t="shared" si="206"/>
        <v>524.5</v>
      </c>
      <c r="R175" s="111">
        <f t="shared" si="207"/>
        <v>524.5</v>
      </c>
      <c r="S175" s="1">
        <f t="shared" si="208"/>
        <v>524.5</v>
      </c>
      <c r="T175" s="1">
        <f t="shared" si="239"/>
        <v>0</v>
      </c>
      <c r="U175" s="1">
        <f t="shared" si="209"/>
        <v>214</v>
      </c>
      <c r="V175" s="1">
        <f t="shared" si="199"/>
        <v>214</v>
      </c>
      <c r="W175" s="1">
        <f t="shared" si="200"/>
        <v>0</v>
      </c>
      <c r="X175" s="1">
        <f>IF(ISNA(VLOOKUP($CZ175,'Audit Values'!$A$2:$AE$439,2,FALSE)),'Preliminary SO66'!D172,VLOOKUP($CZ175,'Audit Values'!$A$2:$AE$439,4,FALSE))</f>
        <v>128.19999999999999</v>
      </c>
      <c r="Y175" s="1">
        <f>ROUND((X175/6)*Weightings!$M$6,1)</f>
        <v>10.7</v>
      </c>
      <c r="Z175" s="1">
        <f>IF(ISNA(VLOOKUP($CZ175,'Audit Values'!$A$2:$AE$439,2,FALSE)),'Preliminary SO66'!F172,VLOOKUP($CZ175,'Audit Values'!$A$2:$AE$439,6,FALSE))</f>
        <v>0</v>
      </c>
      <c r="AA175" s="1">
        <f>ROUND((Z175/6)*Weightings!$M$7,1)</f>
        <v>0</v>
      </c>
      <c r="AB175" s="2">
        <f>IF(ISNA(VLOOKUP($CZ175,'Audit Values'!$A$2:$AE$439,2,FALSE)),'Preliminary SO66'!H172,VLOOKUP($CZ175,'Audit Values'!$A$2:$AE$439,8,FALSE))</f>
        <v>132</v>
      </c>
      <c r="AC175" s="1">
        <f>ROUND(AB175*Weightings!$M$8,1)</f>
        <v>60.2</v>
      </c>
      <c r="AD175" s="1">
        <f t="shared" si="197"/>
        <v>0</v>
      </c>
      <c r="AE175" s="185">
        <v>15</v>
      </c>
      <c r="AF175" s="1">
        <f>AE175*Weightings!$M$9</f>
        <v>0.7</v>
      </c>
      <c r="AG175" s="1">
        <f>IF(ISNA(VLOOKUP($CZ175,'Audit Values'!$A$2:$AE$439,2,FALSE)),'Preliminary SO66'!L172,VLOOKUP($CZ175,'Audit Values'!$A$2:$AE$439,12,FALSE))</f>
        <v>0</v>
      </c>
      <c r="AH175" s="1">
        <f>ROUND(AG175*Weightings!$M$10,1)</f>
        <v>0</v>
      </c>
      <c r="AI175" s="1">
        <f>IF(ISNA(VLOOKUP($CZ175,'Audit Values'!$A$2:$AE$439,2,FALSE)),'Preliminary SO66'!O172,VLOOKUP($CZ175,'Audit Values'!$A$2:$AE$439,15,FALSE))</f>
        <v>276</v>
      </c>
      <c r="AJ175" s="1">
        <f t="shared" si="210"/>
        <v>78.400000000000006</v>
      </c>
      <c r="AK175" s="1">
        <f>CC175/Weightings!$M$5</f>
        <v>0</v>
      </c>
      <c r="AL175" s="1">
        <f>CD175/Weightings!$M$5</f>
        <v>0</v>
      </c>
      <c r="AM175" s="1">
        <f>CH175/Weightings!$M$5</f>
        <v>0</v>
      </c>
      <c r="AN175" s="1">
        <f t="shared" si="211"/>
        <v>0</v>
      </c>
      <c r="AO175" s="1">
        <f>IF(ISNA(VLOOKUP($CZ175,'Audit Values'!$A$2:$AE$439,2,FALSE)),'Preliminary SO66'!X172,VLOOKUP($CZ175,'Audit Values'!$A$2:$AE$439,24,FALSE))</f>
        <v>0</v>
      </c>
      <c r="AP175" s="188">
        <v>328077</v>
      </c>
      <c r="AQ175" s="113">
        <f>AP175/Weightings!$M$5</f>
        <v>85.5</v>
      </c>
      <c r="AR175" s="113">
        <f t="shared" si="212"/>
        <v>888.5</v>
      </c>
      <c r="AS175" s="1">
        <f t="shared" si="213"/>
        <v>974</v>
      </c>
      <c r="AT175" s="1">
        <f t="shared" si="214"/>
        <v>974</v>
      </c>
      <c r="AU175" s="2">
        <f t="shared" si="231"/>
        <v>0</v>
      </c>
      <c r="AV175" s="82">
        <f>IF(ISNA(VLOOKUP($CZ175,'Audit Values'!$A$2:$AC$360,2,FALSE)),"",IF(AND(Weightings!H175&gt;0,VLOOKUP($CZ175,'Audit Values'!$A$2:$AC$360,29,FALSE)&lt;Weightings!H175),Weightings!H175,VLOOKUP($CZ175,'Audit Values'!$A$2:$AC$360,29,FALSE)))</f>
        <v>13</v>
      </c>
      <c r="AW175" s="82" t="str">
        <f>IF(ISNA(VLOOKUP($CZ175,'Audit Values'!$A$2:$AD$360,2,FALSE)),"",VLOOKUP($CZ175,'Audit Values'!$A$2:$AD$360,30,FALSE))</f>
        <v>A</v>
      </c>
      <c r="AX175" s="82" t="str">
        <f>IF(Weightings!G175="","",IF(Weightings!I175="Pending","PX","R"))</f>
        <v/>
      </c>
      <c r="AY175" s="114">
        <f>AR175*Weightings!$M$5+AU175</f>
        <v>3410063</v>
      </c>
      <c r="AZ175" s="2">
        <f>AT175*Weightings!$M$5+AU175</f>
        <v>3738212</v>
      </c>
      <c r="BA175" s="2">
        <f>IF(Weightings!G175&gt;0,Weightings!G175,'Preliminary SO66'!AB172)</f>
        <v>3788490</v>
      </c>
      <c r="BB175" s="2">
        <f t="shared" si="215"/>
        <v>3738212</v>
      </c>
      <c r="BC175" s="124"/>
      <c r="BD175" s="124">
        <f>Weightings!E175</f>
        <v>0</v>
      </c>
      <c r="BE175" s="124">
        <f>Weightings!F175</f>
        <v>0</v>
      </c>
      <c r="BF175" s="2">
        <f t="shared" si="216"/>
        <v>0</v>
      </c>
      <c r="BG175" s="2">
        <f t="shared" si="217"/>
        <v>3738212</v>
      </c>
      <c r="BH175" s="2">
        <f>MAX(ROUND(((AR175-AO175)*4433)+AP175,0),ROUND(((AR175-AO175)*4433)+Weightings!B175,0))</f>
        <v>4320088</v>
      </c>
      <c r="BI175" s="174">
        <v>0.3</v>
      </c>
      <c r="BJ175" s="2">
        <f t="shared" si="191"/>
        <v>1296026</v>
      </c>
      <c r="BK175" s="173">
        <v>1140000</v>
      </c>
      <c r="BL175" s="2">
        <f t="shared" si="194"/>
        <v>1140000</v>
      </c>
      <c r="BM175" s="3">
        <f t="shared" si="232"/>
        <v>0.26390000000000002</v>
      </c>
      <c r="BN175" s="1">
        <f t="shared" si="218"/>
        <v>0</v>
      </c>
      <c r="BO175" s="4" t="b">
        <f t="shared" si="219"/>
        <v>0</v>
      </c>
      <c r="BP175" s="5">
        <f t="shared" si="220"/>
        <v>0</v>
      </c>
      <c r="BQ175" s="6">
        <f t="shared" si="195"/>
        <v>0</v>
      </c>
      <c r="BR175" s="4">
        <f t="shared" si="221"/>
        <v>0</v>
      </c>
      <c r="BS175" s="4" t="b">
        <f t="shared" si="222"/>
        <v>1</v>
      </c>
      <c r="BT175" s="4">
        <f t="shared" si="223"/>
        <v>277.81880000000001</v>
      </c>
      <c r="BU175" s="6">
        <f t="shared" si="196"/>
        <v>0.40791300000000003</v>
      </c>
      <c r="BV175" s="1">
        <f t="shared" si="224"/>
        <v>214</v>
      </c>
      <c r="BW175" s="1">
        <f t="shared" si="225"/>
        <v>0</v>
      </c>
      <c r="BX175" s="116">
        <v>402</v>
      </c>
      <c r="BY175" s="7">
        <f t="shared" si="233"/>
        <v>0.69</v>
      </c>
      <c r="BZ175" s="7">
        <f>IF(ROUND((Weightings!$P$5*BY175^Weightings!$P$6*Weightings!$P$8 ),2)&lt;Weightings!$P$7,Weightings!$P$7,ROUND((Weightings!$P$5*BY175^Weightings!$P$6*Weightings!$P$8 ),2))</f>
        <v>1090.77</v>
      </c>
      <c r="CA175" s="8">
        <f>ROUND(BZ175/Weightings!$M$5,4)</f>
        <v>0.28420000000000001</v>
      </c>
      <c r="CB175" s="1">
        <f t="shared" si="234"/>
        <v>78.400000000000006</v>
      </c>
      <c r="CC175" s="173">
        <v>0</v>
      </c>
      <c r="CD175" s="173">
        <v>0</v>
      </c>
      <c r="CE175" s="173">
        <v>0</v>
      </c>
      <c r="CF175" s="177">
        <v>0</v>
      </c>
      <c r="CG175" s="2">
        <f>AS175*Weightings!$M$5*CF175</f>
        <v>0</v>
      </c>
      <c r="CH175" s="2">
        <f t="shared" si="198"/>
        <v>0</v>
      </c>
      <c r="CI175" s="117">
        <f t="shared" si="226"/>
        <v>0.252</v>
      </c>
      <c r="CJ175" s="4">
        <f t="shared" si="227"/>
        <v>1.3</v>
      </c>
      <c r="CK175" s="1">
        <f t="shared" si="235"/>
        <v>0</v>
      </c>
      <c r="CL175" s="1">
        <f t="shared" si="236"/>
        <v>0</v>
      </c>
      <c r="CM175" s="1">
        <f t="shared" si="237"/>
        <v>0</v>
      </c>
      <c r="CN175" s="1">
        <f>IF(ISNA(VLOOKUP($CZ175,'Audit Values'!$A$2:$AE$439,2,FALSE)),'Preliminary SO66'!T172,VLOOKUP($CZ175,'Audit Values'!$A$2:$AE$439,20,FALSE))</f>
        <v>0</v>
      </c>
      <c r="CO175" s="1">
        <f t="shared" si="228"/>
        <v>0</v>
      </c>
      <c r="CP175" s="183">
        <v>0</v>
      </c>
      <c r="CQ175" s="1">
        <f t="shared" si="229"/>
        <v>0</v>
      </c>
      <c r="CR175" s="2">
        <f>IF(ISNA(VLOOKUP($CZ175,'Audit Values'!$A$2:$AE$439,2,FALSE)),'Preliminary SO66'!V172,VLOOKUP($CZ175,'Audit Values'!$A$2:$AE$439,22,FALSE))</f>
        <v>0</v>
      </c>
      <c r="CS175" s="1">
        <f t="shared" si="230"/>
        <v>0</v>
      </c>
      <c r="CT175" s="2">
        <f>IF(ISNA(VLOOKUP($CZ175,'Audit Values'!$A$2:$AE$439,2,FALSE)),'Preliminary SO66'!W172,VLOOKUP($CZ175,'Audit Values'!$A$2:$AE$439,23,FALSE))</f>
        <v>0</v>
      </c>
      <c r="CU175" s="1">
        <f t="shared" si="241"/>
        <v>0</v>
      </c>
      <c r="CV175" s="1">
        <f t="shared" si="242"/>
        <v>0</v>
      </c>
      <c r="CW175" s="176">
        <v>0</v>
      </c>
      <c r="CX175" s="2">
        <f>IF(CW175&gt;0,Weightings!$M$11*AR175,0)</f>
        <v>0</v>
      </c>
      <c r="CY175" s="2">
        <f t="shared" si="238"/>
        <v>0</v>
      </c>
      <c r="CZ175" s="108" t="s">
        <v>467</v>
      </c>
    </row>
    <row r="176" spans="1:104">
      <c r="A176" s="82">
        <v>381</v>
      </c>
      <c r="B176" s="4" t="s">
        <v>82</v>
      </c>
      <c r="C176" s="4" t="s">
        <v>803</v>
      </c>
      <c r="D176" s="1">
        <v>347</v>
      </c>
      <c r="E176" s="1">
        <v>0</v>
      </c>
      <c r="F176" s="1">
        <f t="shared" si="240"/>
        <v>347</v>
      </c>
      <c r="G176" s="1">
        <v>344.5</v>
      </c>
      <c r="H176" s="1">
        <v>0</v>
      </c>
      <c r="I176" s="1">
        <f t="shared" si="201"/>
        <v>344.5</v>
      </c>
      <c r="J176" s="1">
        <f t="shared" si="202"/>
        <v>339.5</v>
      </c>
      <c r="K176" s="1">
        <f>IF(ISNA(VLOOKUP($CZ176,'Audit Values'!$A$2:$AE$439,2,FALSE)),'Preliminary SO66'!B173,VLOOKUP($CZ176,'Audit Values'!$A$2:$AE$439,31,FALSE))</f>
        <v>339.5</v>
      </c>
      <c r="L176" s="1">
        <f t="shared" si="203"/>
        <v>344.5</v>
      </c>
      <c r="M176" s="1">
        <f>IF(ISNA(VLOOKUP($CZ176,'Audit Values'!$A$2:$AE$439,2,FALSE)),'Preliminary SO66'!Z173,VLOOKUP($CZ176,'Audit Values'!$A$2:$AE$439,26,FALSE))</f>
        <v>0</v>
      </c>
      <c r="N176" s="1">
        <f t="shared" si="204"/>
        <v>344.5</v>
      </c>
      <c r="O176" s="1">
        <f>IF(ISNA(VLOOKUP($CZ176,'Audit Values'!$A$2:$AE$439,2,FALSE)),'Preliminary SO66'!C173,IF(VLOOKUP($CZ176,'Audit Values'!$A$2:$AE$439,28,FALSE)="",VLOOKUP($CZ176,'Audit Values'!$A$2:$AE$439,3,FALSE),VLOOKUP($CZ176,'Audit Values'!$A$2:$AE$439,28,FALSE)))</f>
        <v>0</v>
      </c>
      <c r="P176" s="109">
        <f t="shared" si="205"/>
        <v>339.5</v>
      </c>
      <c r="Q176" s="110">
        <f t="shared" si="206"/>
        <v>339.5</v>
      </c>
      <c r="R176" s="111">
        <f t="shared" si="207"/>
        <v>339.5</v>
      </c>
      <c r="S176" s="1">
        <f t="shared" si="208"/>
        <v>344.5</v>
      </c>
      <c r="T176" s="1">
        <f t="shared" si="239"/>
        <v>0</v>
      </c>
      <c r="U176" s="1">
        <f t="shared" si="209"/>
        <v>161.6</v>
      </c>
      <c r="V176" s="1">
        <f t="shared" si="199"/>
        <v>161.6</v>
      </c>
      <c r="W176" s="1">
        <f t="shared" si="200"/>
        <v>0</v>
      </c>
      <c r="X176" s="1">
        <f>IF(ISNA(VLOOKUP($CZ176,'Audit Values'!$A$2:$AE$439,2,FALSE)),'Preliminary SO66'!D173,VLOOKUP($CZ176,'Audit Values'!$A$2:$AE$439,4,FALSE))</f>
        <v>77.099999999999994</v>
      </c>
      <c r="Y176" s="1">
        <f>ROUND((X176/6)*Weightings!$M$6,1)</f>
        <v>6.4</v>
      </c>
      <c r="Z176" s="1">
        <f>IF(ISNA(VLOOKUP($CZ176,'Audit Values'!$A$2:$AE$439,2,FALSE)),'Preliminary SO66'!F173,VLOOKUP($CZ176,'Audit Values'!$A$2:$AE$439,6,FALSE))</f>
        <v>40.9</v>
      </c>
      <c r="AA176" s="1">
        <f>ROUND((Z176/6)*Weightings!$M$7,1)</f>
        <v>2.7</v>
      </c>
      <c r="AB176" s="2">
        <f>IF(ISNA(VLOOKUP($CZ176,'Audit Values'!$A$2:$AE$439,2,FALSE)),'Preliminary SO66'!H173,VLOOKUP($CZ176,'Audit Values'!$A$2:$AE$439,8,FALSE))</f>
        <v>86</v>
      </c>
      <c r="AC176" s="1">
        <f>ROUND(AB176*Weightings!$M$8,1)</f>
        <v>39.200000000000003</v>
      </c>
      <c r="AD176" s="1">
        <f t="shared" si="197"/>
        <v>0</v>
      </c>
      <c r="AE176" s="185">
        <v>25</v>
      </c>
      <c r="AF176" s="1">
        <f>AE176*Weightings!$M$9</f>
        <v>1.2</v>
      </c>
      <c r="AG176" s="1">
        <f>IF(ISNA(VLOOKUP($CZ176,'Audit Values'!$A$2:$AE$439,2,FALSE)),'Preliminary SO66'!L173,VLOOKUP($CZ176,'Audit Values'!$A$2:$AE$439,12,FALSE))</f>
        <v>77.8</v>
      </c>
      <c r="AH176" s="1">
        <f>ROUND(AG176*Weightings!$M$10,1)</f>
        <v>19.5</v>
      </c>
      <c r="AI176" s="1">
        <f>IF(ISNA(VLOOKUP($CZ176,'Audit Values'!$A$2:$AE$439,2,FALSE)),'Preliminary SO66'!O173,VLOOKUP($CZ176,'Audit Values'!$A$2:$AE$439,15,FALSE))</f>
        <v>56</v>
      </c>
      <c r="AJ176" s="1">
        <f t="shared" si="210"/>
        <v>19.100000000000001</v>
      </c>
      <c r="AK176" s="1">
        <f>CC176/Weightings!$M$5</f>
        <v>0</v>
      </c>
      <c r="AL176" s="1">
        <f>CD176/Weightings!$M$5</f>
        <v>0</v>
      </c>
      <c r="AM176" s="1">
        <f>CH176/Weightings!$M$5</f>
        <v>0</v>
      </c>
      <c r="AN176" s="1">
        <f t="shared" si="211"/>
        <v>0</v>
      </c>
      <c r="AO176" s="1">
        <f>IF(ISNA(VLOOKUP($CZ176,'Audit Values'!$A$2:$AE$439,2,FALSE)),'Preliminary SO66'!X173,VLOOKUP($CZ176,'Audit Values'!$A$2:$AE$439,24,FALSE))</f>
        <v>0</v>
      </c>
      <c r="AP176" s="188">
        <v>256672</v>
      </c>
      <c r="AQ176" s="113">
        <f>AP176/Weightings!$M$5</f>
        <v>66.900000000000006</v>
      </c>
      <c r="AR176" s="113">
        <f t="shared" si="212"/>
        <v>594.20000000000005</v>
      </c>
      <c r="AS176" s="1">
        <f t="shared" si="213"/>
        <v>661.1</v>
      </c>
      <c r="AT176" s="1">
        <f t="shared" si="214"/>
        <v>661.1</v>
      </c>
      <c r="AU176" s="2">
        <f t="shared" si="231"/>
        <v>0</v>
      </c>
      <c r="AV176" s="82">
        <f>IF(ISNA(VLOOKUP($CZ176,'Audit Values'!$A$2:$AC$360,2,FALSE)),"",IF(AND(Weightings!H176&gt;0,VLOOKUP($CZ176,'Audit Values'!$A$2:$AC$360,29,FALSE)&lt;Weightings!H176),Weightings!H176,VLOOKUP($CZ176,'Audit Values'!$A$2:$AC$360,29,FALSE)))</f>
        <v>24</v>
      </c>
      <c r="AW176" s="82" t="str">
        <f>IF(ISNA(VLOOKUP($CZ176,'Audit Values'!$A$2:$AD$360,2,FALSE)),"",VLOOKUP($CZ176,'Audit Values'!$A$2:$AD$360,30,FALSE))</f>
        <v>A</v>
      </c>
      <c r="AX176" s="82" t="str">
        <f>IF(Weightings!G176="","",IF(Weightings!I176="Pending","PX","R"))</f>
        <v/>
      </c>
      <c r="AY176" s="114">
        <f>AR176*Weightings!$M$5+AU176</f>
        <v>2280540</v>
      </c>
      <c r="AZ176" s="2">
        <f>AT176*Weightings!$M$5+AU176</f>
        <v>2537302</v>
      </c>
      <c r="BA176" s="2">
        <f>IF(Weightings!G176&gt;0,Weightings!G176,'Preliminary SO66'!AB173)</f>
        <v>2627495</v>
      </c>
      <c r="BB176" s="2">
        <f t="shared" si="215"/>
        <v>2537302</v>
      </c>
      <c r="BC176" s="124"/>
      <c r="BD176" s="124">
        <f>Weightings!E176</f>
        <v>0</v>
      </c>
      <c r="BE176" s="124">
        <f>Weightings!F176</f>
        <v>0</v>
      </c>
      <c r="BF176" s="2">
        <f t="shared" si="216"/>
        <v>0</v>
      </c>
      <c r="BG176" s="2">
        <f t="shared" si="217"/>
        <v>2537302</v>
      </c>
      <c r="BH176" s="2">
        <f>MAX(ROUND(((AR176-AO176)*4433)+AP176,0),ROUND(((AR176-AO176)*4433)+Weightings!B176,0))</f>
        <v>2928215</v>
      </c>
      <c r="BI176" s="174">
        <v>0.3</v>
      </c>
      <c r="BJ176" s="2">
        <f t="shared" si="191"/>
        <v>878465</v>
      </c>
      <c r="BK176" s="173">
        <v>896228</v>
      </c>
      <c r="BL176" s="2">
        <f t="shared" si="194"/>
        <v>878465</v>
      </c>
      <c r="BM176" s="3">
        <f t="shared" si="232"/>
        <v>0.3</v>
      </c>
      <c r="BN176" s="1">
        <f t="shared" si="218"/>
        <v>0</v>
      </c>
      <c r="BO176" s="4" t="b">
        <f t="shared" si="219"/>
        <v>0</v>
      </c>
      <c r="BP176" s="5">
        <f t="shared" si="220"/>
        <v>0</v>
      </c>
      <c r="BQ176" s="6">
        <f t="shared" si="195"/>
        <v>0</v>
      </c>
      <c r="BR176" s="4">
        <f t="shared" si="221"/>
        <v>0</v>
      </c>
      <c r="BS176" s="4" t="b">
        <f t="shared" si="222"/>
        <v>1</v>
      </c>
      <c r="BT176" s="4">
        <f t="shared" si="223"/>
        <v>55.068800000000003</v>
      </c>
      <c r="BU176" s="6">
        <f t="shared" si="196"/>
        <v>0.46906700000000001</v>
      </c>
      <c r="BV176" s="1">
        <f t="shared" si="224"/>
        <v>161.6</v>
      </c>
      <c r="BW176" s="1">
        <f t="shared" si="225"/>
        <v>0</v>
      </c>
      <c r="BX176" s="116">
        <v>182</v>
      </c>
      <c r="BY176" s="7">
        <f t="shared" si="233"/>
        <v>0.31</v>
      </c>
      <c r="BZ176" s="7">
        <f>IF(ROUND((Weightings!$P$5*BY176^Weightings!$P$6*Weightings!$P$8 ),2)&lt;Weightings!$P$7,Weightings!$P$7,ROUND((Weightings!$P$5*BY176^Weightings!$P$6*Weightings!$P$8 ),2))</f>
        <v>1309.17</v>
      </c>
      <c r="CA176" s="8">
        <f>ROUND(BZ176/Weightings!$M$5,4)</f>
        <v>0.34110000000000001</v>
      </c>
      <c r="CB176" s="1">
        <f t="shared" si="234"/>
        <v>19.100000000000001</v>
      </c>
      <c r="CC176" s="173">
        <v>0</v>
      </c>
      <c r="CD176" s="173">
        <v>0</v>
      </c>
      <c r="CE176" s="173">
        <v>0</v>
      </c>
      <c r="CF176" s="177">
        <v>0</v>
      </c>
      <c r="CG176" s="2">
        <f>AS176*Weightings!$M$5*CF176</f>
        <v>0</v>
      </c>
      <c r="CH176" s="2">
        <f t="shared" si="198"/>
        <v>0</v>
      </c>
      <c r="CI176" s="117">
        <f t="shared" si="226"/>
        <v>0.25</v>
      </c>
      <c r="CJ176" s="4">
        <f t="shared" si="227"/>
        <v>1.9</v>
      </c>
      <c r="CK176" s="1">
        <f t="shared" si="235"/>
        <v>0</v>
      </c>
      <c r="CL176" s="1">
        <f t="shared" si="236"/>
        <v>0</v>
      </c>
      <c r="CM176" s="1">
        <f t="shared" si="237"/>
        <v>0</v>
      </c>
      <c r="CN176" s="1">
        <f>IF(ISNA(VLOOKUP($CZ176,'Audit Values'!$A$2:$AE$439,2,FALSE)),'Preliminary SO66'!T173,VLOOKUP($CZ176,'Audit Values'!$A$2:$AE$439,20,FALSE))</f>
        <v>0</v>
      </c>
      <c r="CO176" s="1">
        <f t="shared" si="228"/>
        <v>0</v>
      </c>
      <c r="CP176" s="183">
        <v>0</v>
      </c>
      <c r="CQ176" s="1">
        <f t="shared" si="229"/>
        <v>0</v>
      </c>
      <c r="CR176" s="2">
        <f>IF(ISNA(VLOOKUP($CZ176,'Audit Values'!$A$2:$AE$439,2,FALSE)),'Preliminary SO66'!V173,VLOOKUP($CZ176,'Audit Values'!$A$2:$AE$439,22,FALSE))</f>
        <v>0</v>
      </c>
      <c r="CS176" s="1">
        <f t="shared" si="230"/>
        <v>0</v>
      </c>
      <c r="CT176" s="2">
        <f>IF(ISNA(VLOOKUP($CZ176,'Audit Values'!$A$2:$AE$439,2,FALSE)),'Preliminary SO66'!W173,VLOOKUP($CZ176,'Audit Values'!$A$2:$AE$439,23,FALSE))</f>
        <v>0</v>
      </c>
      <c r="CU176" s="1">
        <f t="shared" si="241"/>
        <v>0</v>
      </c>
      <c r="CV176" s="1">
        <f t="shared" si="242"/>
        <v>0</v>
      </c>
      <c r="CW176" s="176">
        <v>0</v>
      </c>
      <c r="CX176" s="2">
        <f>IF(CW176&gt;0,Weightings!$M$11*AR176,0)</f>
        <v>0</v>
      </c>
      <c r="CY176" s="2">
        <f t="shared" si="238"/>
        <v>0</v>
      </c>
      <c r="CZ176" s="108" t="s">
        <v>468</v>
      </c>
    </row>
    <row r="177" spans="1:104">
      <c r="A177" s="82">
        <v>382</v>
      </c>
      <c r="B177" s="4" t="s">
        <v>83</v>
      </c>
      <c r="C177" s="4" t="s">
        <v>804</v>
      </c>
      <c r="D177" s="1">
        <v>1080</v>
      </c>
      <c r="E177" s="1">
        <v>0</v>
      </c>
      <c r="F177" s="1">
        <f t="shared" si="240"/>
        <v>1080</v>
      </c>
      <c r="G177" s="1">
        <v>1137.0999999999999</v>
      </c>
      <c r="H177" s="1">
        <v>0</v>
      </c>
      <c r="I177" s="1">
        <f t="shared" si="201"/>
        <v>1137.0999999999999</v>
      </c>
      <c r="J177" s="1">
        <f t="shared" si="202"/>
        <v>1163.2</v>
      </c>
      <c r="K177" s="1">
        <f>IF(ISNA(VLOOKUP($CZ177,'Audit Values'!$A$2:$AE$439,2,FALSE)),'Preliminary SO66'!B174,VLOOKUP($CZ177,'Audit Values'!$A$2:$AE$439,31,FALSE))</f>
        <v>1163.2</v>
      </c>
      <c r="L177" s="1">
        <f t="shared" si="203"/>
        <v>1163.2</v>
      </c>
      <c r="M177" s="1">
        <f>IF(ISNA(VLOOKUP($CZ177,'Audit Values'!$A$2:$AE$439,2,FALSE)),'Preliminary SO66'!Z174,VLOOKUP($CZ177,'Audit Values'!$A$2:$AE$439,26,FALSE))</f>
        <v>0</v>
      </c>
      <c r="N177" s="1">
        <f t="shared" si="204"/>
        <v>1163.2</v>
      </c>
      <c r="O177" s="1">
        <f>IF(ISNA(VLOOKUP($CZ177,'Audit Values'!$A$2:$AE$439,2,FALSE)),'Preliminary SO66'!C174,IF(VLOOKUP($CZ177,'Audit Values'!$A$2:$AE$439,28,FALSE)="",VLOOKUP($CZ177,'Audit Values'!$A$2:$AE$439,3,FALSE),VLOOKUP($CZ177,'Audit Values'!$A$2:$AE$439,28,FALSE)))</f>
        <v>10</v>
      </c>
      <c r="P177" s="109">
        <f t="shared" si="205"/>
        <v>1173.2</v>
      </c>
      <c r="Q177" s="110">
        <f t="shared" si="206"/>
        <v>1173.2</v>
      </c>
      <c r="R177" s="111">
        <f t="shared" si="207"/>
        <v>1173.2</v>
      </c>
      <c r="S177" s="1">
        <f t="shared" si="208"/>
        <v>1173.2</v>
      </c>
      <c r="T177" s="1">
        <f t="shared" si="239"/>
        <v>0</v>
      </c>
      <c r="U177" s="1">
        <f t="shared" si="209"/>
        <v>220</v>
      </c>
      <c r="V177" s="1">
        <f t="shared" si="199"/>
        <v>220</v>
      </c>
      <c r="W177" s="1">
        <f t="shared" si="200"/>
        <v>0</v>
      </c>
      <c r="X177" s="1">
        <f>IF(ISNA(VLOOKUP($CZ177,'Audit Values'!$A$2:$AE$439,2,FALSE)),'Preliminary SO66'!D174,VLOOKUP($CZ177,'Audit Values'!$A$2:$AE$439,4,FALSE))</f>
        <v>122.4</v>
      </c>
      <c r="Y177" s="1">
        <f>ROUND((X177/6)*Weightings!$M$6,1)</f>
        <v>10.199999999999999</v>
      </c>
      <c r="Z177" s="1">
        <f>IF(ISNA(VLOOKUP($CZ177,'Audit Values'!$A$2:$AE$439,2,FALSE)),'Preliminary SO66'!F174,VLOOKUP($CZ177,'Audit Values'!$A$2:$AE$439,6,FALSE))</f>
        <v>249</v>
      </c>
      <c r="AA177" s="1">
        <f>ROUND((Z177/6)*Weightings!$M$7,1)</f>
        <v>16.399999999999999</v>
      </c>
      <c r="AB177" s="2">
        <f>IF(ISNA(VLOOKUP($CZ177,'Audit Values'!$A$2:$AE$439,2,FALSE)),'Preliminary SO66'!H174,VLOOKUP($CZ177,'Audit Values'!$A$2:$AE$439,8,FALSE))</f>
        <v>439</v>
      </c>
      <c r="AC177" s="1">
        <f>ROUND(AB177*Weightings!$M$8,1)</f>
        <v>200.2</v>
      </c>
      <c r="AD177" s="1">
        <f t="shared" si="197"/>
        <v>7.4</v>
      </c>
      <c r="AE177" s="185">
        <v>95</v>
      </c>
      <c r="AF177" s="1">
        <f>AE177*Weightings!$M$9</f>
        <v>4.4000000000000004</v>
      </c>
      <c r="AG177" s="1">
        <f>IF(ISNA(VLOOKUP($CZ177,'Audit Values'!$A$2:$AE$439,2,FALSE)),'Preliminary SO66'!L174,VLOOKUP($CZ177,'Audit Values'!$A$2:$AE$439,12,FALSE))</f>
        <v>0</v>
      </c>
      <c r="AH177" s="1">
        <f>ROUND(AG177*Weightings!$M$10,1)</f>
        <v>0</v>
      </c>
      <c r="AI177" s="1">
        <f>IF(ISNA(VLOOKUP($CZ177,'Audit Values'!$A$2:$AE$439,2,FALSE)),'Preliminary SO66'!O174,VLOOKUP($CZ177,'Audit Values'!$A$2:$AE$439,15,FALSE))</f>
        <v>136</v>
      </c>
      <c r="AJ177" s="1">
        <f t="shared" si="210"/>
        <v>41.4</v>
      </c>
      <c r="AK177" s="1">
        <f>CC177/Weightings!$M$5</f>
        <v>0</v>
      </c>
      <c r="AL177" s="1">
        <f>CD177/Weightings!$M$5</f>
        <v>0</v>
      </c>
      <c r="AM177" s="1">
        <f>CH177/Weightings!$M$5</f>
        <v>0</v>
      </c>
      <c r="AN177" s="1">
        <f t="shared" si="211"/>
        <v>0</v>
      </c>
      <c r="AO177" s="1">
        <f>IF(ISNA(VLOOKUP($CZ177,'Audit Values'!$A$2:$AE$439,2,FALSE)),'Preliminary SO66'!X174,VLOOKUP($CZ177,'Audit Values'!$A$2:$AE$439,24,FALSE))</f>
        <v>0</v>
      </c>
      <c r="AP177" s="188">
        <v>1128174</v>
      </c>
      <c r="AQ177" s="113">
        <f>AP177/Weightings!$M$5</f>
        <v>293.89999999999998</v>
      </c>
      <c r="AR177" s="113">
        <f t="shared" si="212"/>
        <v>1673.2</v>
      </c>
      <c r="AS177" s="1">
        <f t="shared" si="213"/>
        <v>1967.1</v>
      </c>
      <c r="AT177" s="1">
        <f t="shared" si="214"/>
        <v>1967.1</v>
      </c>
      <c r="AU177" s="2">
        <f t="shared" si="231"/>
        <v>0</v>
      </c>
      <c r="AV177" s="82">
        <f>IF(ISNA(VLOOKUP($CZ177,'Audit Values'!$A$2:$AC$360,2,FALSE)),"",IF(AND(Weightings!H177&gt;0,VLOOKUP($CZ177,'Audit Values'!$A$2:$AC$360,29,FALSE)&lt;Weightings!H177),Weightings!H177,VLOOKUP($CZ177,'Audit Values'!$A$2:$AC$360,29,FALSE)))</f>
        <v>25</v>
      </c>
      <c r="AW177" s="82" t="str">
        <f>IF(ISNA(VLOOKUP($CZ177,'Audit Values'!$A$2:$AD$360,2,FALSE)),"",VLOOKUP($CZ177,'Audit Values'!$A$2:$AD$360,30,FALSE))</f>
        <v>A</v>
      </c>
      <c r="AX177" s="82" t="str">
        <f>IF(Weightings!G177="","",IF(Weightings!I177="Pending","PX","R"))</f>
        <v>R</v>
      </c>
      <c r="AY177" s="114">
        <f>AR177*Weightings!$M$5+AU177</f>
        <v>6421742</v>
      </c>
      <c r="AZ177" s="2">
        <f>AT177*Weightings!$M$5+AU177</f>
        <v>7549730</v>
      </c>
      <c r="BA177" s="2">
        <f>IF(Weightings!G177&gt;0,Weightings!G177,'Preliminary SO66'!AB174)</f>
        <v>7647599</v>
      </c>
      <c r="BB177" s="2">
        <f t="shared" si="215"/>
        <v>7549730</v>
      </c>
      <c r="BC177" s="124"/>
      <c r="BD177" s="124">
        <f>Weightings!E177</f>
        <v>0</v>
      </c>
      <c r="BE177" s="124">
        <f>Weightings!F177</f>
        <v>0</v>
      </c>
      <c r="BF177" s="2">
        <f t="shared" si="216"/>
        <v>0</v>
      </c>
      <c r="BG177" s="2">
        <f t="shared" si="217"/>
        <v>7549730</v>
      </c>
      <c r="BH177" s="2">
        <f>MAX(ROUND(((AR177-AO177)*4433)+AP177,0),ROUND(((AR177-AO177)*4433)+Weightings!B177,0))</f>
        <v>8545470</v>
      </c>
      <c r="BI177" s="174">
        <v>0.3</v>
      </c>
      <c r="BJ177" s="2">
        <f t="shared" si="191"/>
        <v>2563641</v>
      </c>
      <c r="BK177" s="173">
        <v>2560236</v>
      </c>
      <c r="BL177" s="2">
        <f t="shared" si="194"/>
        <v>2560236</v>
      </c>
      <c r="BM177" s="3">
        <f t="shared" si="232"/>
        <v>0.29959999999999998</v>
      </c>
      <c r="BN177" s="1">
        <f t="shared" si="218"/>
        <v>0</v>
      </c>
      <c r="BO177" s="4" t="b">
        <f t="shared" si="219"/>
        <v>0</v>
      </c>
      <c r="BP177" s="5">
        <f t="shared" si="220"/>
        <v>0</v>
      </c>
      <c r="BQ177" s="6">
        <f t="shared" si="195"/>
        <v>0</v>
      </c>
      <c r="BR177" s="4">
        <f t="shared" si="221"/>
        <v>0</v>
      </c>
      <c r="BS177" s="4" t="b">
        <f t="shared" si="222"/>
        <v>1</v>
      </c>
      <c r="BT177" s="4">
        <f t="shared" si="223"/>
        <v>1080.585</v>
      </c>
      <c r="BU177" s="6">
        <f t="shared" si="196"/>
        <v>0.18751799999999999</v>
      </c>
      <c r="BV177" s="1">
        <f t="shared" si="224"/>
        <v>220</v>
      </c>
      <c r="BW177" s="1">
        <f t="shared" si="225"/>
        <v>0</v>
      </c>
      <c r="BX177" s="116">
        <v>266.5</v>
      </c>
      <c r="BY177" s="7">
        <f t="shared" si="233"/>
        <v>0.51</v>
      </c>
      <c r="BZ177" s="7">
        <f>IF(ROUND((Weightings!$P$5*BY177^Weightings!$P$6*Weightings!$P$8 ),2)&lt;Weightings!$P$7,Weightings!$P$7,ROUND((Weightings!$P$5*BY177^Weightings!$P$6*Weightings!$P$8 ),2))</f>
        <v>1168.6300000000001</v>
      </c>
      <c r="CA177" s="8">
        <f>ROUND(BZ177/Weightings!$M$5,4)</f>
        <v>0.30449999999999999</v>
      </c>
      <c r="CB177" s="1">
        <f t="shared" si="234"/>
        <v>41.4</v>
      </c>
      <c r="CC177" s="173">
        <v>0</v>
      </c>
      <c r="CD177" s="173">
        <v>0</v>
      </c>
      <c r="CE177" s="173">
        <v>0</v>
      </c>
      <c r="CF177" s="177">
        <v>0</v>
      </c>
      <c r="CG177" s="2">
        <f>AS177*Weightings!$M$5*CF177</f>
        <v>0</v>
      </c>
      <c r="CH177" s="2">
        <f t="shared" si="198"/>
        <v>0</v>
      </c>
      <c r="CI177" s="117">
        <f t="shared" si="226"/>
        <v>0.374</v>
      </c>
      <c r="CJ177" s="4">
        <f t="shared" si="227"/>
        <v>4.4000000000000004</v>
      </c>
      <c r="CK177" s="1">
        <f t="shared" si="235"/>
        <v>0</v>
      </c>
      <c r="CL177" s="1">
        <f t="shared" si="236"/>
        <v>0</v>
      </c>
      <c r="CM177" s="1">
        <f t="shared" si="237"/>
        <v>7.4</v>
      </c>
      <c r="CN177" s="1">
        <f>IF(ISNA(VLOOKUP($CZ177,'Audit Values'!$A$2:$AE$439,2,FALSE)),'Preliminary SO66'!T174,VLOOKUP($CZ177,'Audit Values'!$A$2:$AE$439,20,FALSE))</f>
        <v>0</v>
      </c>
      <c r="CO177" s="1">
        <f t="shared" si="228"/>
        <v>0</v>
      </c>
      <c r="CP177" s="183">
        <v>0</v>
      </c>
      <c r="CQ177" s="1">
        <f t="shared" si="229"/>
        <v>0</v>
      </c>
      <c r="CR177" s="2">
        <f>IF(ISNA(VLOOKUP($CZ177,'Audit Values'!$A$2:$AE$439,2,FALSE)),'Preliminary SO66'!V174,VLOOKUP($CZ177,'Audit Values'!$A$2:$AE$439,22,FALSE))</f>
        <v>0</v>
      </c>
      <c r="CS177" s="1">
        <f t="shared" si="230"/>
        <v>0</v>
      </c>
      <c r="CT177" s="2">
        <f>IF(ISNA(VLOOKUP($CZ177,'Audit Values'!$A$2:$AE$439,2,FALSE)),'Preliminary SO66'!W174,VLOOKUP($CZ177,'Audit Values'!$A$2:$AE$439,23,FALSE))</f>
        <v>0</v>
      </c>
      <c r="CU177" s="1">
        <f t="shared" si="241"/>
        <v>0</v>
      </c>
      <c r="CV177" s="1">
        <f t="shared" si="242"/>
        <v>0</v>
      </c>
      <c r="CW177" s="176">
        <v>0</v>
      </c>
      <c r="CX177" s="2">
        <f>IF(CW177&gt;0,Weightings!$M$11*AR177,0)</f>
        <v>0</v>
      </c>
      <c r="CY177" s="2">
        <f t="shared" si="238"/>
        <v>0</v>
      </c>
      <c r="CZ177" s="108" t="s">
        <v>469</v>
      </c>
    </row>
    <row r="178" spans="1:104">
      <c r="A178" s="82">
        <v>383</v>
      </c>
      <c r="B178" s="4" t="s">
        <v>80</v>
      </c>
      <c r="C178" s="4" t="s">
        <v>805</v>
      </c>
      <c r="D178" s="1">
        <v>5639.2</v>
      </c>
      <c r="E178" s="1">
        <v>147.4</v>
      </c>
      <c r="F178" s="1">
        <f t="shared" si="240"/>
        <v>5786.6</v>
      </c>
      <c r="G178" s="1">
        <v>5697</v>
      </c>
      <c r="H178" s="1">
        <v>79</v>
      </c>
      <c r="I178" s="1">
        <f t="shared" si="201"/>
        <v>5776</v>
      </c>
      <c r="J178" s="1">
        <f t="shared" si="202"/>
        <v>5918</v>
      </c>
      <c r="K178" s="1">
        <f>IF(ISNA(VLOOKUP($CZ178,'Audit Values'!$A$2:$AE$439,2,FALSE)),'Preliminary SO66'!B175,VLOOKUP($CZ178,'Audit Values'!$A$2:$AE$439,31,FALSE))</f>
        <v>5657.3</v>
      </c>
      <c r="L178" s="1">
        <f t="shared" si="203"/>
        <v>5776</v>
      </c>
      <c r="M178" s="1">
        <f>IF(ISNA(VLOOKUP($CZ178,'Audit Values'!$A$2:$AE$439,2,FALSE)),'Preliminary SO66'!Z175,VLOOKUP($CZ178,'Audit Values'!$A$2:$AE$439,26,FALSE))</f>
        <v>68.7</v>
      </c>
      <c r="N178" s="1">
        <f t="shared" si="204"/>
        <v>5844.7</v>
      </c>
      <c r="O178" s="1">
        <f>IF(ISNA(VLOOKUP($CZ178,'Audit Values'!$A$2:$AE$439,2,FALSE)),'Preliminary SO66'!C175,IF(VLOOKUP($CZ178,'Audit Values'!$A$2:$AE$439,28,FALSE)="",VLOOKUP($CZ178,'Audit Values'!$A$2:$AE$439,3,FALSE),VLOOKUP($CZ178,'Audit Values'!$A$2:$AE$439,28,FALSE)))</f>
        <v>28</v>
      </c>
      <c r="P178" s="109">
        <f t="shared" si="205"/>
        <v>5685.3</v>
      </c>
      <c r="Q178" s="110">
        <f t="shared" si="206"/>
        <v>5946</v>
      </c>
      <c r="R178" s="111">
        <f t="shared" si="207"/>
        <v>6014.7</v>
      </c>
      <c r="S178" s="1">
        <f t="shared" si="208"/>
        <v>5872.7</v>
      </c>
      <c r="T178" s="1">
        <f t="shared" si="239"/>
        <v>260.7</v>
      </c>
      <c r="U178" s="1">
        <f t="shared" si="209"/>
        <v>205.8</v>
      </c>
      <c r="V178" s="1">
        <f t="shared" si="199"/>
        <v>0</v>
      </c>
      <c r="W178" s="1">
        <f t="shared" si="200"/>
        <v>205.8</v>
      </c>
      <c r="X178" s="1">
        <f>IF(ISNA(VLOOKUP($CZ178,'Audit Values'!$A$2:$AE$439,2,FALSE)),'Preliminary SO66'!D175,VLOOKUP($CZ178,'Audit Values'!$A$2:$AE$439,4,FALSE))</f>
        <v>638</v>
      </c>
      <c r="Y178" s="1">
        <f>ROUND((X178/6)*Weightings!$M$6,1)</f>
        <v>53.2</v>
      </c>
      <c r="Z178" s="1">
        <f>IF(ISNA(VLOOKUP($CZ178,'Audit Values'!$A$2:$AE$439,2,FALSE)),'Preliminary SO66'!F175,VLOOKUP($CZ178,'Audit Values'!$A$2:$AE$439,6,FALSE))</f>
        <v>1041</v>
      </c>
      <c r="AA178" s="1">
        <f>ROUND((Z178/6)*Weightings!$M$7,1)</f>
        <v>68.5</v>
      </c>
      <c r="AB178" s="2">
        <f>IF(ISNA(VLOOKUP($CZ178,'Audit Values'!$A$2:$AE$439,2,FALSE)),'Preliminary SO66'!H175,VLOOKUP($CZ178,'Audit Values'!$A$2:$AE$439,8,FALSE))</f>
        <v>1807</v>
      </c>
      <c r="AC178" s="1">
        <f>ROUND(AB178*Weightings!$M$8,1)</f>
        <v>824</v>
      </c>
      <c r="AD178" s="1">
        <f t="shared" si="197"/>
        <v>0</v>
      </c>
      <c r="AE178" s="185">
        <v>319</v>
      </c>
      <c r="AF178" s="1">
        <f>AE178*Weightings!$M$9</f>
        <v>14.8</v>
      </c>
      <c r="AG178" s="1">
        <f>IF(ISNA(VLOOKUP($CZ178,'Audit Values'!$A$2:$AE$439,2,FALSE)),'Preliminary SO66'!L175,VLOOKUP($CZ178,'Audit Values'!$A$2:$AE$439,12,FALSE))</f>
        <v>138.19999999999999</v>
      </c>
      <c r="AH178" s="1">
        <f>ROUND(AG178*Weightings!$M$10,1)</f>
        <v>34.6</v>
      </c>
      <c r="AI178" s="1">
        <f>IF(ISNA(VLOOKUP($CZ178,'Audit Values'!$A$2:$AE$439,2,FALSE)),'Preliminary SO66'!O175,VLOOKUP($CZ178,'Audit Values'!$A$2:$AE$439,15,FALSE))</f>
        <v>2476</v>
      </c>
      <c r="AJ178" s="1">
        <f t="shared" si="210"/>
        <v>377.3</v>
      </c>
      <c r="AK178" s="1">
        <f>CC178/Weightings!$M$5</f>
        <v>0</v>
      </c>
      <c r="AL178" s="1">
        <f>CD178/Weightings!$M$5</f>
        <v>0</v>
      </c>
      <c r="AM178" s="1">
        <f>CH178/Weightings!$M$5</f>
        <v>0</v>
      </c>
      <c r="AN178" s="1">
        <f t="shared" si="211"/>
        <v>291.60000000000002</v>
      </c>
      <c r="AO178" s="1">
        <f>IF(ISNA(VLOOKUP($CZ178,'Audit Values'!$A$2:$AE$439,2,FALSE)),'Preliminary SO66'!X175,VLOOKUP($CZ178,'Audit Values'!$A$2:$AE$439,24,FALSE))</f>
        <v>1</v>
      </c>
      <c r="AP178" s="188">
        <v>6703502</v>
      </c>
      <c r="AQ178" s="113">
        <f>AP178/Weightings!$M$5</f>
        <v>1746.6</v>
      </c>
      <c r="AR178" s="113">
        <f t="shared" si="212"/>
        <v>7743.5</v>
      </c>
      <c r="AS178" s="1">
        <f t="shared" si="213"/>
        <v>9490.1</v>
      </c>
      <c r="AT178" s="1">
        <f t="shared" si="214"/>
        <v>9490.1</v>
      </c>
      <c r="AU178" s="2">
        <f t="shared" si="231"/>
        <v>810000</v>
      </c>
      <c r="AV178" s="142">
        <f>IF(ISNA(VLOOKUP($CZ178,'Audit Values'!$A$2:$AC$360,2,FALSE)),"",IF(AND(Weightings!H178&gt;0,VLOOKUP($CZ178,'Audit Values'!$A$2:$AC$360,29,FALSE)&lt;Weightings!H178),Weightings!H178,VLOOKUP($CZ178,'Audit Values'!$A$2:$AC$360,29,FALSE)))</f>
        <v>18</v>
      </c>
      <c r="AW178" s="142" t="str">
        <f>IF(ISNA(VLOOKUP($CZ178,'Audit Values'!$A$2:$AD$360,2,FALSE)),"",VLOOKUP($CZ178,'Audit Values'!$A$2:$AD$360,30,FALSE))</f>
        <v>AM</v>
      </c>
      <c r="AX178" s="159" t="str">
        <f>IF(Weightings!G178="","",IF(Weightings!I178="Pending","PX","R"))</f>
        <v/>
      </c>
      <c r="AY178" s="114">
        <f>AR178*Weightings!$M$5+AU178</f>
        <v>30529553</v>
      </c>
      <c r="AZ178" s="2">
        <f>AT178*Weightings!$M$5+AU178</f>
        <v>37233004</v>
      </c>
      <c r="BA178" s="2">
        <f>IF(Weightings!G178&gt;0,Weightings!G178,'Preliminary SO66'!AB175)</f>
        <v>37850538</v>
      </c>
      <c r="BB178" s="2">
        <f t="shared" si="215"/>
        <v>37233004</v>
      </c>
      <c r="BC178" s="124"/>
      <c r="BD178" s="124">
        <f>Weightings!E178</f>
        <v>-575</v>
      </c>
      <c r="BE178" s="124">
        <f>Weightings!F178</f>
        <v>0</v>
      </c>
      <c r="BF178" s="2">
        <f t="shared" si="216"/>
        <v>-575</v>
      </c>
      <c r="BG178" s="2">
        <f t="shared" si="217"/>
        <v>37232429</v>
      </c>
      <c r="BH178" s="2">
        <f>MAX(ROUND(((AR178-AO178)*4433)+AP178,0),ROUND(((AR178-AO178)*4433)+Weightings!B178,0))</f>
        <v>41026005</v>
      </c>
      <c r="BI178" s="174">
        <v>0.3</v>
      </c>
      <c r="BJ178" s="2">
        <f t="shared" si="191"/>
        <v>12307802</v>
      </c>
      <c r="BK178" s="173">
        <v>11347700</v>
      </c>
      <c r="BL178" s="2">
        <f t="shared" si="194"/>
        <v>11347700</v>
      </c>
      <c r="BM178" s="3">
        <f t="shared" si="232"/>
        <v>0.27660000000000001</v>
      </c>
      <c r="BN178" s="1">
        <f t="shared" si="218"/>
        <v>0</v>
      </c>
      <c r="BO178" s="4" t="b">
        <f t="shared" si="219"/>
        <v>0</v>
      </c>
      <c r="BP178" s="5">
        <f t="shared" si="220"/>
        <v>0</v>
      </c>
      <c r="BQ178" s="6">
        <f t="shared" si="195"/>
        <v>0</v>
      </c>
      <c r="BR178" s="4">
        <f t="shared" si="221"/>
        <v>0</v>
      </c>
      <c r="BS178" s="4" t="b">
        <f t="shared" si="222"/>
        <v>0</v>
      </c>
      <c r="BT178" s="4">
        <f t="shared" si="223"/>
        <v>0</v>
      </c>
      <c r="BU178" s="6">
        <f t="shared" si="196"/>
        <v>0</v>
      </c>
      <c r="BV178" s="1">
        <f t="shared" si="224"/>
        <v>0</v>
      </c>
      <c r="BW178" s="1">
        <f t="shared" si="225"/>
        <v>205.8</v>
      </c>
      <c r="BX178" s="116">
        <v>163</v>
      </c>
      <c r="BY178" s="7">
        <f t="shared" si="233"/>
        <v>15.19</v>
      </c>
      <c r="BZ178" s="7">
        <f>IF(ROUND((Weightings!$P$5*BY178^Weightings!$P$6*Weightings!$P$8 ),2)&lt;Weightings!$P$7,Weightings!$P$7,ROUND((Weightings!$P$5*BY178^Weightings!$P$6*Weightings!$P$8 ),2))</f>
        <v>585</v>
      </c>
      <c r="CA178" s="8">
        <f>ROUND(BZ178/Weightings!$M$5,4)</f>
        <v>0.15240000000000001</v>
      </c>
      <c r="CB178" s="1">
        <f t="shared" si="234"/>
        <v>377.3</v>
      </c>
      <c r="CC178" s="173">
        <v>0</v>
      </c>
      <c r="CD178" s="173">
        <v>0</v>
      </c>
      <c r="CE178" s="173">
        <v>0</v>
      </c>
      <c r="CF178" s="177">
        <v>2.0500000000000001E-2</v>
      </c>
      <c r="CG178" s="2">
        <f>AS178*Weightings!$M$5*CF178</f>
        <v>746672</v>
      </c>
      <c r="CH178" s="2">
        <f t="shared" si="198"/>
        <v>0</v>
      </c>
      <c r="CI178" s="117">
        <f t="shared" si="226"/>
        <v>0.308</v>
      </c>
      <c r="CJ178" s="4">
        <f t="shared" si="227"/>
        <v>36</v>
      </c>
      <c r="CK178" s="1">
        <f t="shared" si="235"/>
        <v>0</v>
      </c>
      <c r="CL178" s="1">
        <f t="shared" si="236"/>
        <v>0</v>
      </c>
      <c r="CM178" s="1">
        <f t="shared" si="237"/>
        <v>0</v>
      </c>
      <c r="CN178" s="1">
        <f>IF(ISNA(VLOOKUP($CZ178,'Audit Values'!$A$2:$AE$439,2,FALSE)),'Preliminary SO66'!T175,VLOOKUP($CZ178,'Audit Values'!$A$2:$AE$439,20,FALSE))</f>
        <v>260.7</v>
      </c>
      <c r="CO178" s="1">
        <f t="shared" si="228"/>
        <v>273.7</v>
      </c>
      <c r="CP178" s="181">
        <v>68</v>
      </c>
      <c r="CQ178" s="1">
        <f t="shared" si="229"/>
        <v>17</v>
      </c>
      <c r="CR178" s="2">
        <f>IF(ISNA(VLOOKUP($CZ178,'Audit Values'!$A$2:$AE$439,2,FALSE)),'Preliminary SO66'!V175,VLOOKUP($CZ178,'Audit Values'!$A$2:$AE$439,22,FALSE))</f>
        <v>4</v>
      </c>
      <c r="CS178" s="1">
        <f t="shared" si="230"/>
        <v>0.3</v>
      </c>
      <c r="CT178" s="2">
        <f>IF(ISNA(VLOOKUP($CZ178,'Audit Values'!$A$2:$AE$439,2,FALSE)),'Preliminary SO66'!W175,VLOOKUP($CZ178,'Audit Values'!$A$2:$AE$439,23,FALSE))</f>
        <v>7</v>
      </c>
      <c r="CU178" s="1">
        <f t="shared" si="241"/>
        <v>0.6</v>
      </c>
      <c r="CV178" s="1">
        <f t="shared" si="242"/>
        <v>291.60000000000002</v>
      </c>
      <c r="CW178" s="176">
        <v>810000</v>
      </c>
      <c r="CX178" s="2">
        <f>IF(CW178&gt;0,Weightings!$M$11*AR178,0)</f>
        <v>1935875</v>
      </c>
      <c r="CY178" s="2">
        <f t="shared" si="238"/>
        <v>810000</v>
      </c>
      <c r="CZ178" s="108" t="s">
        <v>470</v>
      </c>
    </row>
    <row r="179" spans="1:104">
      <c r="A179" s="82">
        <v>384</v>
      </c>
      <c r="B179" s="4" t="s">
        <v>80</v>
      </c>
      <c r="C179" s="4" t="s">
        <v>670</v>
      </c>
      <c r="D179" s="1">
        <v>201</v>
      </c>
      <c r="E179" s="1">
        <v>0</v>
      </c>
      <c r="F179" s="1">
        <f t="shared" si="240"/>
        <v>201</v>
      </c>
      <c r="G179" s="1">
        <v>187.5</v>
      </c>
      <c r="H179" s="1">
        <v>0</v>
      </c>
      <c r="I179" s="1">
        <f t="shared" si="201"/>
        <v>187.5</v>
      </c>
      <c r="J179" s="1">
        <f t="shared" si="202"/>
        <v>178</v>
      </c>
      <c r="K179" s="1">
        <f>IF(ISNA(VLOOKUP($CZ179,'Audit Values'!$A$2:$AE$439,2,FALSE)),'Preliminary SO66'!B176,VLOOKUP($CZ179,'Audit Values'!$A$2:$AE$439,31,FALSE))</f>
        <v>178</v>
      </c>
      <c r="L179" s="1">
        <f t="shared" si="203"/>
        <v>188.8</v>
      </c>
      <c r="M179" s="1">
        <f>IF(ISNA(VLOOKUP($CZ179,'Audit Values'!$A$2:$AE$439,2,FALSE)),'Preliminary SO66'!Z176,VLOOKUP($CZ179,'Audit Values'!$A$2:$AE$439,26,FALSE))</f>
        <v>0</v>
      </c>
      <c r="N179" s="1">
        <f t="shared" si="204"/>
        <v>188.8</v>
      </c>
      <c r="O179" s="1">
        <f>IF(ISNA(VLOOKUP($CZ179,'Audit Values'!$A$2:$AE$439,2,FALSE)),'Preliminary SO66'!C176,IF(VLOOKUP($CZ179,'Audit Values'!$A$2:$AE$439,28,FALSE)="",VLOOKUP($CZ179,'Audit Values'!$A$2:$AE$439,3,FALSE),VLOOKUP($CZ179,'Audit Values'!$A$2:$AE$439,28,FALSE)))</f>
        <v>1</v>
      </c>
      <c r="P179" s="109">
        <f t="shared" si="205"/>
        <v>179</v>
      </c>
      <c r="Q179" s="110">
        <f t="shared" si="206"/>
        <v>179</v>
      </c>
      <c r="R179" s="111">
        <f t="shared" si="207"/>
        <v>179</v>
      </c>
      <c r="S179" s="1">
        <f t="shared" si="208"/>
        <v>189.8</v>
      </c>
      <c r="T179" s="1">
        <f t="shared" si="239"/>
        <v>0</v>
      </c>
      <c r="U179" s="1">
        <f t="shared" si="209"/>
        <v>147.30000000000001</v>
      </c>
      <c r="V179" s="1">
        <f t="shared" si="199"/>
        <v>147.30000000000001</v>
      </c>
      <c r="W179" s="1">
        <f t="shared" si="200"/>
        <v>0</v>
      </c>
      <c r="X179" s="1">
        <f>IF(ISNA(VLOOKUP($CZ179,'Audit Values'!$A$2:$AE$439,2,FALSE)),'Preliminary SO66'!D176,VLOOKUP($CZ179,'Audit Values'!$A$2:$AE$439,4,FALSE))</f>
        <v>64.5</v>
      </c>
      <c r="Y179" s="1">
        <f>ROUND((X179/6)*Weightings!$M$6,1)</f>
        <v>5.4</v>
      </c>
      <c r="Z179" s="1">
        <f>IF(ISNA(VLOOKUP($CZ179,'Audit Values'!$A$2:$AE$439,2,FALSE)),'Preliminary SO66'!F176,VLOOKUP($CZ179,'Audit Values'!$A$2:$AE$439,6,FALSE))</f>
        <v>0</v>
      </c>
      <c r="AA179" s="1">
        <f>ROUND((Z179/6)*Weightings!$M$7,1)</f>
        <v>0</v>
      </c>
      <c r="AB179" s="2">
        <f>IF(ISNA(VLOOKUP($CZ179,'Audit Values'!$A$2:$AE$439,2,FALSE)),'Preliminary SO66'!H176,VLOOKUP($CZ179,'Audit Values'!$A$2:$AE$439,8,FALSE))</f>
        <v>31</v>
      </c>
      <c r="AC179" s="1">
        <f>ROUND(AB179*Weightings!$M$8,1)</f>
        <v>14.1</v>
      </c>
      <c r="AD179" s="1">
        <f t="shared" si="197"/>
        <v>0</v>
      </c>
      <c r="AE179" s="185">
        <v>18</v>
      </c>
      <c r="AF179" s="1">
        <f>AE179*Weightings!$M$9</f>
        <v>0.8</v>
      </c>
      <c r="AG179" s="1">
        <f>IF(ISNA(VLOOKUP($CZ179,'Audit Values'!$A$2:$AE$439,2,FALSE)),'Preliminary SO66'!L176,VLOOKUP($CZ179,'Audit Values'!$A$2:$AE$439,12,FALSE))</f>
        <v>0</v>
      </c>
      <c r="AH179" s="1">
        <f>ROUND(AG179*Weightings!$M$10,1)</f>
        <v>0</v>
      </c>
      <c r="AI179" s="1">
        <f>IF(ISNA(VLOOKUP($CZ179,'Audit Values'!$A$2:$AE$439,2,FALSE)),'Preliminary SO66'!O176,VLOOKUP($CZ179,'Audit Values'!$A$2:$AE$439,15,FALSE))</f>
        <v>124</v>
      </c>
      <c r="AJ179" s="1">
        <f t="shared" si="210"/>
        <v>40.1</v>
      </c>
      <c r="AK179" s="1">
        <f>CC179/Weightings!$M$5</f>
        <v>0</v>
      </c>
      <c r="AL179" s="1">
        <f>CD179/Weightings!$M$5</f>
        <v>0</v>
      </c>
      <c r="AM179" s="1">
        <f>CH179/Weightings!$M$5</f>
        <v>0</v>
      </c>
      <c r="AN179" s="1">
        <f t="shared" si="211"/>
        <v>0</v>
      </c>
      <c r="AO179" s="1">
        <f>IF(ISNA(VLOOKUP($CZ179,'Audit Values'!$A$2:$AE$439,2,FALSE)),'Preliminary SO66'!X176,VLOOKUP($CZ179,'Audit Values'!$A$2:$AE$439,24,FALSE))</f>
        <v>1</v>
      </c>
      <c r="AP179" s="188">
        <v>276175</v>
      </c>
      <c r="AQ179" s="113">
        <f>AP179/Weightings!$M$5</f>
        <v>72</v>
      </c>
      <c r="AR179" s="113">
        <f t="shared" si="212"/>
        <v>398.5</v>
      </c>
      <c r="AS179" s="1">
        <f t="shared" si="213"/>
        <v>470.5</v>
      </c>
      <c r="AT179" s="1">
        <f t="shared" si="214"/>
        <v>470.5</v>
      </c>
      <c r="AU179" s="2">
        <f t="shared" si="231"/>
        <v>0</v>
      </c>
      <c r="AV179" s="82">
        <f>IF(ISNA(VLOOKUP($CZ179,'Audit Values'!$A$2:$AC$360,2,FALSE)),"",IF(AND(Weightings!H179&gt;0,VLOOKUP($CZ179,'Audit Values'!$A$2:$AC$360,29,FALSE)&lt;Weightings!H179),Weightings!H179,VLOOKUP($CZ179,'Audit Values'!$A$2:$AC$360,29,FALSE)))</f>
        <v>21</v>
      </c>
      <c r="AW179" s="82" t="str">
        <f>IF(ISNA(VLOOKUP($CZ179,'Audit Values'!$A$2:$AD$360,2,FALSE)),"",VLOOKUP($CZ179,'Audit Values'!$A$2:$AD$360,30,FALSE))</f>
        <v>A</v>
      </c>
      <c r="AX179" s="82" t="str">
        <f>IF(Weightings!G179="","",IF(Weightings!I179="Pending","PX","R"))</f>
        <v/>
      </c>
      <c r="AY179" s="114">
        <f>AR179*Weightings!$M$5+AU179</f>
        <v>1529443</v>
      </c>
      <c r="AZ179" s="2">
        <f>AT179*Weightings!$M$5+AU179</f>
        <v>1805779</v>
      </c>
      <c r="BA179" s="2">
        <f>IF(Weightings!G179&gt;0,Weightings!G179,'Preliminary SO66'!AB176)</f>
        <v>1888296</v>
      </c>
      <c r="BB179" s="2">
        <f t="shared" si="215"/>
        <v>1805779</v>
      </c>
      <c r="BC179" s="124"/>
      <c r="BD179" s="124">
        <f>Weightings!E179</f>
        <v>-1229</v>
      </c>
      <c r="BE179" s="124">
        <f>Weightings!F179</f>
        <v>0</v>
      </c>
      <c r="BF179" s="2">
        <f t="shared" si="216"/>
        <v>-1229</v>
      </c>
      <c r="BG179" s="2">
        <f t="shared" si="217"/>
        <v>1804550</v>
      </c>
      <c r="BH179" s="2">
        <f>MAX(ROUND(((AR179-AO179)*4433)+AP179,0),ROUND(((AR179-AO179)*4433)+Weightings!B179,0))</f>
        <v>2048071</v>
      </c>
      <c r="BI179" s="174">
        <v>0.3</v>
      </c>
      <c r="BJ179" s="2">
        <f t="shared" si="191"/>
        <v>614421</v>
      </c>
      <c r="BK179" s="173">
        <v>636581</v>
      </c>
      <c r="BL179" s="2">
        <f t="shared" si="194"/>
        <v>614421</v>
      </c>
      <c r="BM179" s="3">
        <f t="shared" si="232"/>
        <v>0.3</v>
      </c>
      <c r="BN179" s="1">
        <f t="shared" si="218"/>
        <v>0</v>
      </c>
      <c r="BO179" s="4" t="b">
        <f t="shared" si="219"/>
        <v>1</v>
      </c>
      <c r="BP179" s="5">
        <f t="shared" si="220"/>
        <v>867.01900000000001</v>
      </c>
      <c r="BQ179" s="6">
        <f t="shared" si="195"/>
        <v>0.77629599999999999</v>
      </c>
      <c r="BR179" s="4">
        <f t="shared" si="221"/>
        <v>147.30000000000001</v>
      </c>
      <c r="BS179" s="4" t="b">
        <f t="shared" si="222"/>
        <v>0</v>
      </c>
      <c r="BT179" s="4">
        <f t="shared" si="223"/>
        <v>0</v>
      </c>
      <c r="BU179" s="6">
        <f t="shared" si="196"/>
        <v>0</v>
      </c>
      <c r="BV179" s="1">
        <f t="shared" si="224"/>
        <v>0</v>
      </c>
      <c r="BW179" s="1">
        <f t="shared" si="225"/>
        <v>0</v>
      </c>
      <c r="BX179" s="116">
        <v>319</v>
      </c>
      <c r="BY179" s="7">
        <f t="shared" si="233"/>
        <v>0.39</v>
      </c>
      <c r="BZ179" s="7">
        <f>IF(ROUND((Weightings!$P$5*BY179^Weightings!$P$6*Weightings!$P$8 ),2)&lt;Weightings!$P$7,Weightings!$P$7,ROUND((Weightings!$P$5*BY179^Weightings!$P$6*Weightings!$P$8 ),2))</f>
        <v>1242.3699999999999</v>
      </c>
      <c r="CA179" s="8">
        <f>ROUND(BZ179/Weightings!$M$5,4)</f>
        <v>0.32369999999999999</v>
      </c>
      <c r="CB179" s="1">
        <f t="shared" si="234"/>
        <v>40.1</v>
      </c>
      <c r="CC179" s="173">
        <v>0</v>
      </c>
      <c r="CD179" s="173">
        <v>0</v>
      </c>
      <c r="CE179" s="173">
        <v>0</v>
      </c>
      <c r="CF179" s="177">
        <v>0</v>
      </c>
      <c r="CG179" s="2">
        <f>AS179*Weightings!$M$5*CF179</f>
        <v>0</v>
      </c>
      <c r="CH179" s="2">
        <f t="shared" si="198"/>
        <v>0</v>
      </c>
      <c r="CI179" s="117">
        <f t="shared" si="226"/>
        <v>0.16300000000000001</v>
      </c>
      <c r="CJ179" s="4">
        <f t="shared" si="227"/>
        <v>0.6</v>
      </c>
      <c r="CK179" s="1">
        <f t="shared" si="235"/>
        <v>0</v>
      </c>
      <c r="CL179" s="1">
        <f t="shared" si="236"/>
        <v>0</v>
      </c>
      <c r="CM179" s="1">
        <f t="shared" si="237"/>
        <v>0</v>
      </c>
      <c r="CN179" s="1">
        <f>IF(ISNA(VLOOKUP($CZ179,'Audit Values'!$A$2:$AE$439,2,FALSE)),'Preliminary SO66'!T176,VLOOKUP($CZ179,'Audit Values'!$A$2:$AE$439,20,FALSE))</f>
        <v>0</v>
      </c>
      <c r="CO179" s="1">
        <f t="shared" si="228"/>
        <v>0</v>
      </c>
      <c r="CP179" s="183">
        <v>0</v>
      </c>
      <c r="CQ179" s="1">
        <f t="shared" si="229"/>
        <v>0</v>
      </c>
      <c r="CR179" s="2">
        <f>IF(ISNA(VLOOKUP($CZ179,'Audit Values'!$A$2:$AE$439,2,FALSE)),'Preliminary SO66'!V176,VLOOKUP($CZ179,'Audit Values'!$A$2:$AE$439,22,FALSE))</f>
        <v>0</v>
      </c>
      <c r="CS179" s="1">
        <f t="shared" si="230"/>
        <v>0</v>
      </c>
      <c r="CT179" s="2">
        <f>IF(ISNA(VLOOKUP($CZ179,'Audit Values'!$A$2:$AE$439,2,FALSE)),'Preliminary SO66'!W176,VLOOKUP($CZ179,'Audit Values'!$A$2:$AE$439,23,FALSE))</f>
        <v>0</v>
      </c>
      <c r="CU179" s="1">
        <f t="shared" si="241"/>
        <v>0</v>
      </c>
      <c r="CV179" s="1">
        <f t="shared" si="242"/>
        <v>0</v>
      </c>
      <c r="CW179" s="176">
        <v>0</v>
      </c>
      <c r="CX179" s="2">
        <f>IF(CW179&gt;0,Weightings!$M$11*AR179,0)</f>
        <v>0</v>
      </c>
      <c r="CY179" s="2">
        <f t="shared" si="238"/>
        <v>0</v>
      </c>
      <c r="CZ179" s="108" t="s">
        <v>471</v>
      </c>
    </row>
    <row r="180" spans="1:104">
      <c r="A180" s="82">
        <v>385</v>
      </c>
      <c r="B180" s="4" t="s">
        <v>12</v>
      </c>
      <c r="C180" s="4" t="s">
        <v>806</v>
      </c>
      <c r="D180" s="1">
        <v>4782.1000000000004</v>
      </c>
      <c r="E180" s="1">
        <v>0</v>
      </c>
      <c r="F180" s="1">
        <f t="shared" si="240"/>
        <v>4782.1000000000004</v>
      </c>
      <c r="G180" s="1">
        <v>4818.6000000000004</v>
      </c>
      <c r="H180" s="1">
        <v>0</v>
      </c>
      <c r="I180" s="1">
        <f t="shared" si="201"/>
        <v>4818.6000000000004</v>
      </c>
      <c r="J180" s="1">
        <f t="shared" si="202"/>
        <v>5706.7</v>
      </c>
      <c r="K180" s="1">
        <f>IF(ISNA(VLOOKUP($CZ180,'Audit Values'!$A$2:$AE$439,2,FALSE)),'Preliminary SO66'!B177,VLOOKUP($CZ180,'Audit Values'!$A$2:$AE$439,31,FALSE))</f>
        <v>4800.2</v>
      </c>
      <c r="L180" s="1">
        <f t="shared" si="203"/>
        <v>4818.6000000000004</v>
      </c>
      <c r="M180" s="1">
        <f>IF(ISNA(VLOOKUP($CZ180,'Audit Values'!$A$2:$AE$439,2,FALSE)),'Preliminary SO66'!Z177,VLOOKUP($CZ180,'Audit Values'!$A$2:$AE$439,26,FALSE))</f>
        <v>0</v>
      </c>
      <c r="N180" s="1">
        <f t="shared" si="204"/>
        <v>4818.6000000000004</v>
      </c>
      <c r="O180" s="1">
        <f>IF(ISNA(VLOOKUP($CZ180,'Audit Values'!$A$2:$AE$439,2,FALSE)),'Preliminary SO66'!C177,IF(VLOOKUP($CZ180,'Audit Values'!$A$2:$AE$439,28,FALSE)="",VLOOKUP($CZ180,'Audit Values'!$A$2:$AE$439,3,FALSE),VLOOKUP($CZ180,'Audit Values'!$A$2:$AE$439,28,FALSE)))</f>
        <v>22.5</v>
      </c>
      <c r="P180" s="109">
        <f t="shared" si="205"/>
        <v>4822.7</v>
      </c>
      <c r="Q180" s="110">
        <f t="shared" si="206"/>
        <v>5729.2</v>
      </c>
      <c r="R180" s="111">
        <f t="shared" si="207"/>
        <v>5729.2</v>
      </c>
      <c r="S180" s="1">
        <f t="shared" si="208"/>
        <v>4841.1000000000004</v>
      </c>
      <c r="T180" s="1">
        <f t="shared" si="239"/>
        <v>906.5</v>
      </c>
      <c r="U180" s="1">
        <f t="shared" si="209"/>
        <v>169.6</v>
      </c>
      <c r="V180" s="1">
        <f t="shared" si="199"/>
        <v>0</v>
      </c>
      <c r="W180" s="1">
        <f t="shared" si="200"/>
        <v>169.6</v>
      </c>
      <c r="X180" s="1">
        <f>IF(ISNA(VLOOKUP($CZ180,'Audit Values'!$A$2:$AE$439,2,FALSE)),'Preliminary SO66'!D177,VLOOKUP($CZ180,'Audit Values'!$A$2:$AE$439,4,FALSE))</f>
        <v>456.7</v>
      </c>
      <c r="Y180" s="1">
        <f>ROUND((X180/6)*Weightings!$M$6,1)</f>
        <v>38.1</v>
      </c>
      <c r="Z180" s="1">
        <f>IF(ISNA(VLOOKUP($CZ180,'Audit Values'!$A$2:$AE$439,2,FALSE)),'Preliminary SO66'!F177,VLOOKUP($CZ180,'Audit Values'!$A$2:$AE$439,6,FALSE))</f>
        <v>138.5</v>
      </c>
      <c r="AA180" s="1">
        <f>ROUND((Z180/6)*Weightings!$M$7,1)</f>
        <v>9.1</v>
      </c>
      <c r="AB180" s="2">
        <f>IF(ISNA(VLOOKUP($CZ180,'Audit Values'!$A$2:$AE$439,2,FALSE)),'Preliminary SO66'!H177,VLOOKUP($CZ180,'Audit Values'!$A$2:$AE$439,8,FALSE))</f>
        <v>653</v>
      </c>
      <c r="AC180" s="1">
        <f>ROUND(AB180*Weightings!$M$8,1)</f>
        <v>297.8</v>
      </c>
      <c r="AD180" s="1">
        <f t="shared" si="197"/>
        <v>0</v>
      </c>
      <c r="AE180" s="185">
        <v>172</v>
      </c>
      <c r="AF180" s="1">
        <f>AE180*Weightings!$M$9</f>
        <v>8</v>
      </c>
      <c r="AG180" s="1">
        <f>IF(ISNA(VLOOKUP($CZ180,'Audit Values'!$A$2:$AE$439,2,FALSE)),'Preliminary SO66'!L177,VLOOKUP($CZ180,'Audit Values'!$A$2:$AE$439,12,FALSE))</f>
        <v>0</v>
      </c>
      <c r="AH180" s="1">
        <f>ROUND(AG180*Weightings!$M$10,1)</f>
        <v>0</v>
      </c>
      <c r="AI180" s="1">
        <f>IF(ISNA(VLOOKUP($CZ180,'Audit Values'!$A$2:$AE$439,2,FALSE)),'Preliminary SO66'!O177,VLOOKUP($CZ180,'Audit Values'!$A$2:$AE$439,15,FALSE))</f>
        <v>1565</v>
      </c>
      <c r="AJ180" s="1">
        <f t="shared" si="210"/>
        <v>238.5</v>
      </c>
      <c r="AK180" s="1">
        <f>CC180/Weightings!$M$5</f>
        <v>0</v>
      </c>
      <c r="AL180" s="1">
        <f>CD180/Weightings!$M$5</f>
        <v>0</v>
      </c>
      <c r="AM180" s="1">
        <f>CH180/Weightings!$M$5</f>
        <v>0</v>
      </c>
      <c r="AN180" s="1">
        <f t="shared" si="211"/>
        <v>969.8</v>
      </c>
      <c r="AO180" s="1">
        <f>IF(ISNA(VLOOKUP($CZ180,'Audit Values'!$A$2:$AE$439,2,FALSE)),'Preliminary SO66'!X177,VLOOKUP($CZ180,'Audit Values'!$A$2:$AE$439,24,FALSE))</f>
        <v>1</v>
      </c>
      <c r="AP180" s="188">
        <v>4151781</v>
      </c>
      <c r="AQ180" s="113">
        <f>AP180/Weightings!$M$5</f>
        <v>1081.8</v>
      </c>
      <c r="AR180" s="113">
        <f t="shared" si="212"/>
        <v>6573</v>
      </c>
      <c r="AS180" s="1">
        <f t="shared" si="213"/>
        <v>7654.8</v>
      </c>
      <c r="AT180" s="1">
        <f t="shared" si="214"/>
        <v>7654.8</v>
      </c>
      <c r="AU180" s="2">
        <f t="shared" si="231"/>
        <v>200000</v>
      </c>
      <c r="AV180" s="82">
        <f>IF(ISNA(VLOOKUP($CZ180,'Audit Values'!$A$2:$AC$360,2,FALSE)),"",IF(AND(Weightings!H180&gt;0,VLOOKUP($CZ180,'Audit Values'!$A$2:$AC$360,29,FALSE)&lt;Weightings!H180),Weightings!H180,VLOOKUP($CZ180,'Audit Values'!$A$2:$AC$360,29,FALSE)))</f>
        <v>26</v>
      </c>
      <c r="AW180" s="82" t="str">
        <f>IF(ISNA(VLOOKUP($CZ180,'Audit Values'!$A$2:$AD$360,2,FALSE)),"",VLOOKUP($CZ180,'Audit Values'!$A$2:$AD$360,30,FALSE))</f>
        <v>A</v>
      </c>
      <c r="AX180" s="82" t="str">
        <f>IF(Weightings!G180="","",IF(Weightings!I180="Pending","PX","R"))</f>
        <v>R</v>
      </c>
      <c r="AY180" s="114">
        <f>AR180*Weightings!$M$5+AU180</f>
        <v>25427174</v>
      </c>
      <c r="AZ180" s="2">
        <f>AT180*Weightings!$M$5+AU180</f>
        <v>29579122</v>
      </c>
      <c r="BA180" s="2">
        <f>IF(Weightings!G180&gt;0,Weightings!G180,'Preliminary SO66'!AB177)</f>
        <v>29771790</v>
      </c>
      <c r="BB180" s="2">
        <f t="shared" si="215"/>
        <v>29579122</v>
      </c>
      <c r="BC180" s="124"/>
      <c r="BD180" s="124">
        <f>Weightings!E180</f>
        <v>-1150</v>
      </c>
      <c r="BE180" s="124">
        <f>Weightings!F180</f>
        <v>0</v>
      </c>
      <c r="BF180" s="2">
        <f t="shared" si="216"/>
        <v>-1150</v>
      </c>
      <c r="BG180" s="2">
        <f t="shared" si="217"/>
        <v>29577972</v>
      </c>
      <c r="BH180" s="2">
        <f>MAX(ROUND(((AR180-AO180)*4433)+AP180,0),ROUND(((AR180-AO180)*4433)+Weightings!B180,0))</f>
        <v>33285457</v>
      </c>
      <c r="BI180" s="174">
        <v>0.31</v>
      </c>
      <c r="BJ180" s="2">
        <f t="shared" si="191"/>
        <v>10318492</v>
      </c>
      <c r="BK180" s="173">
        <v>9894179</v>
      </c>
      <c r="BL180" s="2">
        <f t="shared" si="194"/>
        <v>9894179</v>
      </c>
      <c r="BM180" s="3">
        <f t="shared" si="232"/>
        <v>0.29730000000000001</v>
      </c>
      <c r="BN180" s="1">
        <f t="shared" si="218"/>
        <v>0</v>
      </c>
      <c r="BO180" s="4" t="b">
        <f t="shared" si="219"/>
        <v>0</v>
      </c>
      <c r="BP180" s="5">
        <f t="shared" si="220"/>
        <v>0</v>
      </c>
      <c r="BQ180" s="6">
        <f t="shared" si="195"/>
        <v>0</v>
      </c>
      <c r="BR180" s="4">
        <f t="shared" si="221"/>
        <v>0</v>
      </c>
      <c r="BS180" s="4" t="b">
        <f t="shared" si="222"/>
        <v>0</v>
      </c>
      <c r="BT180" s="4">
        <f t="shared" si="223"/>
        <v>0</v>
      </c>
      <c r="BU180" s="6">
        <f t="shared" si="196"/>
        <v>0</v>
      </c>
      <c r="BV180" s="1">
        <f t="shared" si="224"/>
        <v>0</v>
      </c>
      <c r="BW180" s="1">
        <f t="shared" si="225"/>
        <v>169.6</v>
      </c>
      <c r="BX180" s="116">
        <v>46.8</v>
      </c>
      <c r="BY180" s="7">
        <f t="shared" si="233"/>
        <v>33.44</v>
      </c>
      <c r="BZ180" s="7">
        <f>IF(ROUND((Weightings!$P$5*BY180^Weightings!$P$6*Weightings!$P$8 ),2)&lt;Weightings!$P$7,Weightings!$P$7,ROUND((Weightings!$P$5*BY180^Weightings!$P$6*Weightings!$P$8 ),2))</f>
        <v>585</v>
      </c>
      <c r="CA180" s="8">
        <f>ROUND(BZ180/Weightings!$M$5,4)</f>
        <v>0.15240000000000001</v>
      </c>
      <c r="CB180" s="1">
        <f t="shared" si="234"/>
        <v>238.5</v>
      </c>
      <c r="CC180" s="173">
        <v>0</v>
      </c>
      <c r="CD180" s="173">
        <v>0</v>
      </c>
      <c r="CE180" s="173">
        <v>0</v>
      </c>
      <c r="CF180" s="177">
        <v>0.05</v>
      </c>
      <c r="CG180" s="2">
        <f>AS180*Weightings!$M$5*CF180</f>
        <v>1468956</v>
      </c>
      <c r="CH180" s="2">
        <f t="shared" si="198"/>
        <v>0</v>
      </c>
      <c r="CI180" s="117">
        <f t="shared" si="226"/>
        <v>0.13500000000000001</v>
      </c>
      <c r="CJ180" s="4">
        <f t="shared" si="227"/>
        <v>103.4</v>
      </c>
      <c r="CK180" s="1">
        <f t="shared" si="235"/>
        <v>0</v>
      </c>
      <c r="CL180" s="1">
        <f t="shared" si="236"/>
        <v>0</v>
      </c>
      <c r="CM180" s="1">
        <f t="shared" si="237"/>
        <v>0</v>
      </c>
      <c r="CN180" s="1">
        <f>IF(ISNA(VLOOKUP($CZ180,'Audit Values'!$A$2:$AE$439,2,FALSE)),'Preliminary SO66'!T177,VLOOKUP($CZ180,'Audit Values'!$A$2:$AE$439,20,FALSE))</f>
        <v>906.5</v>
      </c>
      <c r="CO180" s="1">
        <f t="shared" si="228"/>
        <v>951.8</v>
      </c>
      <c r="CP180" s="181">
        <v>72</v>
      </c>
      <c r="CQ180" s="1">
        <f t="shared" si="229"/>
        <v>18</v>
      </c>
      <c r="CR180" s="2">
        <f>IF(ISNA(VLOOKUP($CZ180,'Audit Values'!$A$2:$AE$439,2,FALSE)),'Preliminary SO66'!V177,VLOOKUP($CZ180,'Audit Values'!$A$2:$AE$439,22,FALSE))</f>
        <v>0</v>
      </c>
      <c r="CS180" s="1">
        <f t="shared" si="230"/>
        <v>0</v>
      </c>
      <c r="CT180" s="2">
        <f>IF(ISNA(VLOOKUP($CZ180,'Audit Values'!$A$2:$AE$439,2,FALSE)),'Preliminary SO66'!W177,VLOOKUP($CZ180,'Audit Values'!$A$2:$AE$439,23,FALSE))</f>
        <v>0</v>
      </c>
      <c r="CU180" s="1">
        <f t="shared" si="241"/>
        <v>0</v>
      </c>
      <c r="CV180" s="1">
        <f t="shared" si="242"/>
        <v>969.8</v>
      </c>
      <c r="CW180" s="176">
        <v>200000</v>
      </c>
      <c r="CX180" s="2">
        <f>IF(CW180&gt;0,Weightings!$M$11*AR180,0)</f>
        <v>1643250</v>
      </c>
      <c r="CY180" s="2">
        <f t="shared" si="238"/>
        <v>200000</v>
      </c>
      <c r="CZ180" s="108" t="s">
        <v>472</v>
      </c>
    </row>
    <row r="181" spans="1:104">
      <c r="A181" s="82">
        <v>386</v>
      </c>
      <c r="B181" s="4" t="s">
        <v>84</v>
      </c>
      <c r="C181" s="4" t="s">
        <v>807</v>
      </c>
      <c r="D181" s="1">
        <v>246</v>
      </c>
      <c r="E181" s="1">
        <v>0</v>
      </c>
      <c r="F181" s="1">
        <f t="shared" si="240"/>
        <v>246</v>
      </c>
      <c r="G181" s="1">
        <v>228</v>
      </c>
      <c r="H181" s="1">
        <v>0</v>
      </c>
      <c r="I181" s="1">
        <f t="shared" si="201"/>
        <v>228</v>
      </c>
      <c r="J181" s="1">
        <f t="shared" si="202"/>
        <v>240</v>
      </c>
      <c r="K181" s="1">
        <f>IF(ISNA(VLOOKUP($CZ181,'Audit Values'!$A$2:$AE$439,2,FALSE)),'Preliminary SO66'!B178,VLOOKUP($CZ181,'Audit Values'!$A$2:$AE$439,31,FALSE))</f>
        <v>240</v>
      </c>
      <c r="L181" s="1">
        <f t="shared" si="203"/>
        <v>240</v>
      </c>
      <c r="M181" s="1">
        <f>IF(ISNA(VLOOKUP($CZ181,'Audit Values'!$A$2:$AE$439,2,FALSE)),'Preliminary SO66'!Z178,VLOOKUP($CZ181,'Audit Values'!$A$2:$AE$439,26,FALSE))</f>
        <v>0</v>
      </c>
      <c r="N181" s="1">
        <f t="shared" si="204"/>
        <v>240</v>
      </c>
      <c r="O181" s="1">
        <f>IF(ISNA(VLOOKUP($CZ181,'Audit Values'!$A$2:$AE$439,2,FALSE)),'Preliminary SO66'!C178,IF(VLOOKUP($CZ181,'Audit Values'!$A$2:$AE$439,28,FALSE)="",VLOOKUP($CZ181,'Audit Values'!$A$2:$AE$439,3,FALSE),VLOOKUP($CZ181,'Audit Values'!$A$2:$AE$439,28,FALSE)))</f>
        <v>2</v>
      </c>
      <c r="P181" s="109">
        <f t="shared" si="205"/>
        <v>242</v>
      </c>
      <c r="Q181" s="110">
        <f t="shared" si="206"/>
        <v>242</v>
      </c>
      <c r="R181" s="111">
        <f t="shared" si="207"/>
        <v>242</v>
      </c>
      <c r="S181" s="1">
        <f t="shared" si="208"/>
        <v>242</v>
      </c>
      <c r="T181" s="1">
        <f t="shared" si="239"/>
        <v>0</v>
      </c>
      <c r="U181" s="1">
        <f t="shared" si="209"/>
        <v>154.4</v>
      </c>
      <c r="V181" s="1">
        <f t="shared" si="199"/>
        <v>154.4</v>
      </c>
      <c r="W181" s="1">
        <f t="shared" si="200"/>
        <v>0</v>
      </c>
      <c r="X181" s="1">
        <f>IF(ISNA(VLOOKUP($CZ181,'Audit Values'!$A$2:$AE$439,2,FALSE)),'Preliminary SO66'!D178,VLOOKUP($CZ181,'Audit Values'!$A$2:$AE$439,4,FALSE))</f>
        <v>15.3</v>
      </c>
      <c r="Y181" s="1">
        <f>ROUND((X181/6)*Weightings!$M$6,1)</f>
        <v>1.3</v>
      </c>
      <c r="Z181" s="1">
        <f>IF(ISNA(VLOOKUP($CZ181,'Audit Values'!$A$2:$AE$439,2,FALSE)),'Preliminary SO66'!F178,VLOOKUP($CZ181,'Audit Values'!$A$2:$AE$439,6,FALSE))</f>
        <v>0</v>
      </c>
      <c r="AA181" s="1">
        <f>ROUND((Z181/6)*Weightings!$M$7,1)</f>
        <v>0</v>
      </c>
      <c r="AB181" s="2">
        <f>IF(ISNA(VLOOKUP($CZ181,'Audit Values'!$A$2:$AE$439,2,FALSE)),'Preliminary SO66'!H178,VLOOKUP($CZ181,'Audit Values'!$A$2:$AE$439,8,FALSE))</f>
        <v>98</v>
      </c>
      <c r="AC181" s="1">
        <f>ROUND(AB181*Weightings!$M$8,1)</f>
        <v>44.7</v>
      </c>
      <c r="AD181" s="1">
        <f t="shared" si="197"/>
        <v>3.8</v>
      </c>
      <c r="AE181" s="185">
        <v>25</v>
      </c>
      <c r="AF181" s="1">
        <f>AE181*Weightings!$M$9</f>
        <v>1.2</v>
      </c>
      <c r="AG181" s="1">
        <f>IF(ISNA(VLOOKUP($CZ181,'Audit Values'!$A$2:$AE$439,2,FALSE)),'Preliminary SO66'!L178,VLOOKUP($CZ181,'Audit Values'!$A$2:$AE$439,12,FALSE))</f>
        <v>0</v>
      </c>
      <c r="AH181" s="1">
        <f>ROUND(AG181*Weightings!$M$10,1)</f>
        <v>0</v>
      </c>
      <c r="AI181" s="1">
        <f>IF(ISNA(VLOOKUP($CZ181,'Audit Values'!$A$2:$AE$439,2,FALSE)),'Preliminary SO66'!O178,VLOOKUP($CZ181,'Audit Values'!$A$2:$AE$439,15,FALSE))</f>
        <v>80</v>
      </c>
      <c r="AJ181" s="1">
        <f t="shared" si="210"/>
        <v>27.1</v>
      </c>
      <c r="AK181" s="1">
        <f>CC181/Weightings!$M$5</f>
        <v>0</v>
      </c>
      <c r="AL181" s="1">
        <f>CD181/Weightings!$M$5</f>
        <v>0</v>
      </c>
      <c r="AM181" s="1">
        <f>CH181/Weightings!$M$5</f>
        <v>0</v>
      </c>
      <c r="AN181" s="1">
        <f t="shared" si="211"/>
        <v>0</v>
      </c>
      <c r="AO181" s="1">
        <f>IF(ISNA(VLOOKUP($CZ181,'Audit Values'!$A$2:$AE$439,2,FALSE)),'Preliminary SO66'!X178,VLOOKUP($CZ181,'Audit Values'!$A$2:$AE$439,24,FALSE))</f>
        <v>0</v>
      </c>
      <c r="AP181" s="188">
        <v>285489</v>
      </c>
      <c r="AQ181" s="113">
        <f>AP181/Weightings!$M$5</f>
        <v>74.400000000000006</v>
      </c>
      <c r="AR181" s="113">
        <f t="shared" si="212"/>
        <v>474.5</v>
      </c>
      <c r="AS181" s="1">
        <f t="shared" si="213"/>
        <v>548.9</v>
      </c>
      <c r="AT181" s="1">
        <f t="shared" si="214"/>
        <v>548.9</v>
      </c>
      <c r="AU181" s="2">
        <f t="shared" si="231"/>
        <v>60000</v>
      </c>
      <c r="AV181" s="82">
        <f>IF(ISNA(VLOOKUP($CZ181,'Audit Values'!$A$2:$AC$360,2,FALSE)),"",IF(AND(Weightings!H181&gt;0,VLOOKUP($CZ181,'Audit Values'!$A$2:$AC$360,29,FALSE)&lt;Weightings!H181),Weightings!H181,VLOOKUP($CZ181,'Audit Values'!$A$2:$AC$360,29,FALSE)))</f>
        <v>10</v>
      </c>
      <c r="AW181" s="82" t="str">
        <f>IF(ISNA(VLOOKUP($CZ181,'Audit Values'!$A$2:$AD$360,2,FALSE)),"",VLOOKUP($CZ181,'Audit Values'!$A$2:$AD$360,30,FALSE))</f>
        <v>A</v>
      </c>
      <c r="AX181" s="82" t="str">
        <f>IF(Weightings!G181="","",IF(Weightings!I181="Pending","PX","R"))</f>
        <v>R</v>
      </c>
      <c r="AY181" s="114">
        <f>AR181*Weightings!$M$5+AU181</f>
        <v>1881131</v>
      </c>
      <c r="AZ181" s="2">
        <f>AT181*Weightings!$M$5+AU181</f>
        <v>2166678</v>
      </c>
      <c r="BA181" s="2">
        <f>IF(Weightings!G181&gt;0,Weightings!G181,'Preliminary SO66'!AB178)</f>
        <v>2185484</v>
      </c>
      <c r="BB181" s="2">
        <f t="shared" si="215"/>
        <v>2166678</v>
      </c>
      <c r="BC181" s="124"/>
      <c r="BD181" s="124">
        <f>Weightings!E181</f>
        <v>0</v>
      </c>
      <c r="BE181" s="124">
        <f>Weightings!F181</f>
        <v>0</v>
      </c>
      <c r="BF181" s="2">
        <f t="shared" si="216"/>
        <v>0</v>
      </c>
      <c r="BG181" s="2">
        <f t="shared" si="217"/>
        <v>2166678</v>
      </c>
      <c r="BH181" s="2">
        <f>MAX(ROUND(((AR181-AO181)*4433)+AP181,0),ROUND(((AR181-AO181)*4433)+Weightings!B181,0))</f>
        <v>2388948</v>
      </c>
      <c r="BI181" s="174">
        <v>0.3</v>
      </c>
      <c r="BJ181" s="2">
        <f t="shared" si="191"/>
        <v>716684</v>
      </c>
      <c r="BK181" s="173">
        <v>632811</v>
      </c>
      <c r="BL181" s="2">
        <f t="shared" si="194"/>
        <v>632811</v>
      </c>
      <c r="BM181" s="3">
        <f t="shared" si="232"/>
        <v>0.26490000000000002</v>
      </c>
      <c r="BN181" s="1">
        <f t="shared" si="218"/>
        <v>0</v>
      </c>
      <c r="BO181" s="4" t="b">
        <f t="shared" si="219"/>
        <v>1</v>
      </c>
      <c r="BP181" s="5">
        <f t="shared" si="220"/>
        <v>1371.01</v>
      </c>
      <c r="BQ181" s="6">
        <f t="shared" si="195"/>
        <v>0.63792800000000005</v>
      </c>
      <c r="BR181" s="4">
        <f t="shared" si="221"/>
        <v>154.4</v>
      </c>
      <c r="BS181" s="4" t="b">
        <f t="shared" si="222"/>
        <v>0</v>
      </c>
      <c r="BT181" s="4">
        <f t="shared" si="223"/>
        <v>0</v>
      </c>
      <c r="BU181" s="6">
        <f t="shared" si="196"/>
        <v>0</v>
      </c>
      <c r="BV181" s="1">
        <f t="shared" si="224"/>
        <v>0</v>
      </c>
      <c r="BW181" s="1">
        <f t="shared" si="225"/>
        <v>0</v>
      </c>
      <c r="BX181" s="116">
        <v>253</v>
      </c>
      <c r="BY181" s="7">
        <f t="shared" si="233"/>
        <v>0.32</v>
      </c>
      <c r="BZ181" s="7">
        <f>IF(ROUND((Weightings!$P$5*BY181^Weightings!$P$6*Weightings!$P$8 ),2)&lt;Weightings!$P$7,Weightings!$P$7,ROUND((Weightings!$P$5*BY181^Weightings!$P$6*Weightings!$P$8 ),2))</f>
        <v>1299.72</v>
      </c>
      <c r="CA181" s="8">
        <f>ROUND(BZ181/Weightings!$M$5,4)</f>
        <v>0.33860000000000001</v>
      </c>
      <c r="CB181" s="1">
        <f t="shared" si="234"/>
        <v>27.1</v>
      </c>
      <c r="CC181" s="173">
        <v>0</v>
      </c>
      <c r="CD181" s="173">
        <v>0</v>
      </c>
      <c r="CE181" s="173">
        <v>0</v>
      </c>
      <c r="CF181" s="177">
        <v>0</v>
      </c>
      <c r="CG181" s="2">
        <f>AS181*Weightings!$M$5*CF181</f>
        <v>0</v>
      </c>
      <c r="CH181" s="2">
        <f t="shared" si="198"/>
        <v>0</v>
      </c>
      <c r="CI181" s="117">
        <f t="shared" si="226"/>
        <v>0.40500000000000003</v>
      </c>
      <c r="CJ181" s="4">
        <f t="shared" si="227"/>
        <v>1</v>
      </c>
      <c r="CK181" s="1">
        <f t="shared" si="235"/>
        <v>0</v>
      </c>
      <c r="CL181" s="1">
        <f t="shared" si="236"/>
        <v>0</v>
      </c>
      <c r="CM181" s="1">
        <f t="shared" si="237"/>
        <v>3.8</v>
      </c>
      <c r="CN181" s="1">
        <f>IF(ISNA(VLOOKUP($CZ181,'Audit Values'!$A$2:$AE$439,2,FALSE)),'Preliminary SO66'!T178,VLOOKUP($CZ181,'Audit Values'!$A$2:$AE$439,20,FALSE))</f>
        <v>0</v>
      </c>
      <c r="CO181" s="1">
        <f t="shared" si="228"/>
        <v>0</v>
      </c>
      <c r="CP181" s="183">
        <v>0</v>
      </c>
      <c r="CQ181" s="1">
        <f t="shared" si="229"/>
        <v>0</v>
      </c>
      <c r="CR181" s="2">
        <f>IF(ISNA(VLOOKUP($CZ181,'Audit Values'!$A$2:$AE$439,2,FALSE)),'Preliminary SO66'!V178,VLOOKUP($CZ181,'Audit Values'!$A$2:$AE$439,22,FALSE))</f>
        <v>0</v>
      </c>
      <c r="CS181" s="1">
        <f t="shared" si="230"/>
        <v>0</v>
      </c>
      <c r="CT181" s="2">
        <f>IF(ISNA(VLOOKUP($CZ181,'Audit Values'!$A$2:$AE$439,2,FALSE)),'Preliminary SO66'!W178,VLOOKUP($CZ181,'Audit Values'!$A$2:$AE$439,23,FALSE))</f>
        <v>0</v>
      </c>
      <c r="CU181" s="1">
        <f t="shared" si="241"/>
        <v>0</v>
      </c>
      <c r="CV181" s="1">
        <f t="shared" si="242"/>
        <v>0</v>
      </c>
      <c r="CW181" s="176">
        <v>60000</v>
      </c>
      <c r="CX181" s="2">
        <f>IF(CW181&gt;0,Weightings!$M$11*AR181,0)</f>
        <v>118625</v>
      </c>
      <c r="CY181" s="2">
        <f t="shared" si="238"/>
        <v>60000</v>
      </c>
      <c r="CZ181" s="108" t="s">
        <v>473</v>
      </c>
    </row>
    <row r="182" spans="1:104">
      <c r="A182" s="82">
        <v>387</v>
      </c>
      <c r="B182" s="4" t="s">
        <v>85</v>
      </c>
      <c r="C182" s="4" t="s">
        <v>808</v>
      </c>
      <c r="D182" s="1">
        <v>157</v>
      </c>
      <c r="E182" s="1">
        <v>0</v>
      </c>
      <c r="F182" s="1">
        <f t="shared" si="240"/>
        <v>157</v>
      </c>
      <c r="G182" s="1">
        <v>195.5</v>
      </c>
      <c r="H182" s="1">
        <v>0</v>
      </c>
      <c r="I182" s="1">
        <f t="shared" si="201"/>
        <v>195.5</v>
      </c>
      <c r="J182" s="1">
        <f t="shared" si="202"/>
        <v>184.5</v>
      </c>
      <c r="K182" s="1">
        <f>IF(ISNA(VLOOKUP($CZ182,'Audit Values'!$A$2:$AE$439,2,FALSE)),'Preliminary SO66'!B179,VLOOKUP($CZ182,'Audit Values'!$A$2:$AE$439,31,FALSE))</f>
        <v>184.5</v>
      </c>
      <c r="L182" s="1">
        <f t="shared" si="203"/>
        <v>195.5</v>
      </c>
      <c r="M182" s="1">
        <f>IF(ISNA(VLOOKUP($CZ182,'Audit Values'!$A$2:$AE$439,2,FALSE)),'Preliminary SO66'!Z179,VLOOKUP($CZ182,'Audit Values'!$A$2:$AE$439,26,FALSE))</f>
        <v>0</v>
      </c>
      <c r="N182" s="1">
        <f t="shared" si="204"/>
        <v>195.5</v>
      </c>
      <c r="O182" s="1">
        <f>IF(ISNA(VLOOKUP($CZ182,'Audit Values'!$A$2:$AE$439,2,FALSE)),'Preliminary SO66'!C179,IF(VLOOKUP($CZ182,'Audit Values'!$A$2:$AE$439,28,FALSE)="",VLOOKUP($CZ182,'Audit Values'!$A$2:$AE$439,3,FALSE),VLOOKUP($CZ182,'Audit Values'!$A$2:$AE$439,28,FALSE)))</f>
        <v>2</v>
      </c>
      <c r="P182" s="109">
        <f t="shared" si="205"/>
        <v>186.5</v>
      </c>
      <c r="Q182" s="110">
        <f t="shared" si="206"/>
        <v>186.5</v>
      </c>
      <c r="R182" s="111">
        <f t="shared" si="207"/>
        <v>186.5</v>
      </c>
      <c r="S182" s="1">
        <f t="shared" si="208"/>
        <v>197.5</v>
      </c>
      <c r="T182" s="1">
        <f t="shared" si="239"/>
        <v>0</v>
      </c>
      <c r="U182" s="1">
        <f t="shared" si="209"/>
        <v>149.30000000000001</v>
      </c>
      <c r="V182" s="1">
        <f t="shared" si="199"/>
        <v>149.30000000000001</v>
      </c>
      <c r="W182" s="1">
        <f t="shared" si="200"/>
        <v>0</v>
      </c>
      <c r="X182" s="1">
        <f>IF(ISNA(VLOOKUP($CZ182,'Audit Values'!$A$2:$AE$439,2,FALSE)),'Preliminary SO66'!D179,VLOOKUP($CZ182,'Audit Values'!$A$2:$AE$439,4,FALSE))</f>
        <v>13.3</v>
      </c>
      <c r="Y182" s="1">
        <f>ROUND((X182/6)*Weightings!$M$6,1)</f>
        <v>1.1000000000000001</v>
      </c>
      <c r="Z182" s="1">
        <f>IF(ISNA(VLOOKUP($CZ182,'Audit Values'!$A$2:$AE$439,2,FALSE)),'Preliminary SO66'!F179,VLOOKUP($CZ182,'Audit Values'!$A$2:$AE$439,6,FALSE))</f>
        <v>0</v>
      </c>
      <c r="AA182" s="1">
        <f>ROUND((Z182/6)*Weightings!$M$7,1)</f>
        <v>0</v>
      </c>
      <c r="AB182" s="2">
        <f>IF(ISNA(VLOOKUP($CZ182,'Audit Values'!$A$2:$AE$439,2,FALSE)),'Preliminary SO66'!H179,VLOOKUP($CZ182,'Audit Values'!$A$2:$AE$439,8,FALSE))</f>
        <v>97</v>
      </c>
      <c r="AC182" s="1">
        <f>ROUND(AB182*Weightings!$M$8,1)</f>
        <v>44.2</v>
      </c>
      <c r="AD182" s="1">
        <f t="shared" si="197"/>
        <v>9.6</v>
      </c>
      <c r="AE182" s="185">
        <v>22</v>
      </c>
      <c r="AF182" s="1">
        <f>AE182*Weightings!$M$9</f>
        <v>1</v>
      </c>
      <c r="AG182" s="1">
        <f>IF(ISNA(VLOOKUP($CZ182,'Audit Values'!$A$2:$AE$439,2,FALSE)),'Preliminary SO66'!L179,VLOOKUP($CZ182,'Audit Values'!$A$2:$AE$439,12,FALSE))</f>
        <v>0</v>
      </c>
      <c r="AH182" s="1">
        <f>ROUND(AG182*Weightings!$M$10,1)</f>
        <v>0</v>
      </c>
      <c r="AI182" s="1">
        <f>IF(ISNA(VLOOKUP($CZ182,'Audit Values'!$A$2:$AE$439,2,FALSE)),'Preliminary SO66'!O179,VLOOKUP($CZ182,'Audit Values'!$A$2:$AE$439,15,FALSE))</f>
        <v>103</v>
      </c>
      <c r="AJ182" s="1">
        <f t="shared" si="210"/>
        <v>31</v>
      </c>
      <c r="AK182" s="1">
        <f>CC182/Weightings!$M$5</f>
        <v>0</v>
      </c>
      <c r="AL182" s="1">
        <f>CD182/Weightings!$M$5</f>
        <v>0</v>
      </c>
      <c r="AM182" s="1">
        <f>CH182/Weightings!$M$5</f>
        <v>0</v>
      </c>
      <c r="AN182" s="1">
        <f t="shared" si="211"/>
        <v>0</v>
      </c>
      <c r="AO182" s="1">
        <f>IF(ISNA(VLOOKUP($CZ182,'Audit Values'!$A$2:$AE$439,2,FALSE)),'Preliminary SO66'!X179,VLOOKUP($CZ182,'Audit Values'!$A$2:$AE$439,24,FALSE))</f>
        <v>0</v>
      </c>
      <c r="AP182" s="188">
        <v>238683</v>
      </c>
      <c r="AQ182" s="113">
        <f>AP182/Weightings!$M$5</f>
        <v>62.2</v>
      </c>
      <c r="AR182" s="113">
        <f t="shared" si="212"/>
        <v>433.7</v>
      </c>
      <c r="AS182" s="1">
        <f t="shared" si="213"/>
        <v>495.9</v>
      </c>
      <c r="AT182" s="1">
        <f t="shared" si="214"/>
        <v>495.9</v>
      </c>
      <c r="AU182" s="2">
        <f t="shared" si="231"/>
        <v>0</v>
      </c>
      <c r="AV182" s="82">
        <f>IF(ISNA(VLOOKUP($CZ182,'Audit Values'!$A$2:$AC$360,2,FALSE)),"",IF(AND(Weightings!H182&gt;0,VLOOKUP($CZ182,'Audit Values'!$A$2:$AC$360,29,FALSE)&lt;Weightings!H182),Weightings!H182,VLOOKUP($CZ182,'Audit Values'!$A$2:$AC$360,29,FALSE)))</f>
        <v>3</v>
      </c>
      <c r="AW182" s="82" t="str">
        <f>IF(ISNA(VLOOKUP($CZ182,'Audit Values'!$A$2:$AD$360,2,FALSE)),"",VLOOKUP($CZ182,'Audit Values'!$A$2:$AD$360,30,FALSE))</f>
        <v>A</v>
      </c>
      <c r="AX182" s="82" t="str">
        <f>IF(Weightings!G182="","",IF(Weightings!I182="Pending","PX","R"))</f>
        <v/>
      </c>
      <c r="AY182" s="114">
        <f>AR182*Weightings!$M$5+AU182</f>
        <v>1664541</v>
      </c>
      <c r="AZ182" s="2">
        <f>AT182*Weightings!$M$5+AU182</f>
        <v>1903264</v>
      </c>
      <c r="BA182" s="2">
        <f>IF(Weightings!G182&gt;0,Weightings!G182,'Preliminary SO66'!AB179)</f>
        <v>2061006</v>
      </c>
      <c r="BB182" s="2">
        <f t="shared" si="215"/>
        <v>1903264</v>
      </c>
      <c r="BC182" s="124"/>
      <c r="BD182" s="124">
        <f>Weightings!E182</f>
        <v>0</v>
      </c>
      <c r="BE182" s="124">
        <f>Weightings!F182</f>
        <v>0</v>
      </c>
      <c r="BF182" s="2">
        <f t="shared" si="216"/>
        <v>0</v>
      </c>
      <c r="BG182" s="2">
        <f t="shared" si="217"/>
        <v>1903264</v>
      </c>
      <c r="BH182" s="2">
        <f>MAX(ROUND(((AR182-AO182)*4433)+AP182,0),ROUND(((AR182-AO182)*4433)+Weightings!B182,0))</f>
        <v>2188758</v>
      </c>
      <c r="BI182" s="174">
        <v>0.3</v>
      </c>
      <c r="BJ182" s="2">
        <f t="shared" si="191"/>
        <v>656627</v>
      </c>
      <c r="BK182" s="173">
        <v>607400</v>
      </c>
      <c r="BL182" s="2">
        <f t="shared" si="194"/>
        <v>607400</v>
      </c>
      <c r="BM182" s="3">
        <f t="shared" si="232"/>
        <v>0.27750000000000002</v>
      </c>
      <c r="BN182" s="1">
        <f t="shared" si="218"/>
        <v>0</v>
      </c>
      <c r="BO182" s="4" t="b">
        <f t="shared" si="219"/>
        <v>1</v>
      </c>
      <c r="BP182" s="5">
        <f t="shared" si="220"/>
        <v>941.36300000000006</v>
      </c>
      <c r="BQ182" s="6">
        <f t="shared" si="195"/>
        <v>0.75588500000000003</v>
      </c>
      <c r="BR182" s="4">
        <f t="shared" si="221"/>
        <v>149.30000000000001</v>
      </c>
      <c r="BS182" s="4" t="b">
        <f t="shared" si="222"/>
        <v>0</v>
      </c>
      <c r="BT182" s="4">
        <f t="shared" si="223"/>
        <v>0</v>
      </c>
      <c r="BU182" s="6">
        <f t="shared" si="196"/>
        <v>0</v>
      </c>
      <c r="BV182" s="1">
        <f t="shared" si="224"/>
        <v>0</v>
      </c>
      <c r="BW182" s="1">
        <f t="shared" si="225"/>
        <v>0</v>
      </c>
      <c r="BX182" s="116">
        <v>192</v>
      </c>
      <c r="BY182" s="7">
        <f t="shared" si="233"/>
        <v>0.54</v>
      </c>
      <c r="BZ182" s="7">
        <f>IF(ROUND((Weightings!$P$5*BY182^Weightings!$P$6*Weightings!$P$8 ),2)&lt;Weightings!$P$7,Weightings!$P$7,ROUND((Weightings!$P$5*BY182^Weightings!$P$6*Weightings!$P$8 ),2))</f>
        <v>1153.49</v>
      </c>
      <c r="CA182" s="8">
        <f>ROUND(BZ182/Weightings!$M$5,4)</f>
        <v>0.30049999999999999</v>
      </c>
      <c r="CB182" s="1">
        <f t="shared" si="234"/>
        <v>31</v>
      </c>
      <c r="CC182" s="173">
        <v>0</v>
      </c>
      <c r="CD182" s="173">
        <v>0</v>
      </c>
      <c r="CE182" s="173">
        <v>0</v>
      </c>
      <c r="CF182" s="177">
        <v>0</v>
      </c>
      <c r="CG182" s="2">
        <f>AS182*Weightings!$M$5*CF182</f>
        <v>0</v>
      </c>
      <c r="CH182" s="2">
        <f t="shared" si="198"/>
        <v>0</v>
      </c>
      <c r="CI182" s="117">
        <f t="shared" si="226"/>
        <v>0.49099999999999999</v>
      </c>
      <c r="CJ182" s="4">
        <f t="shared" si="227"/>
        <v>1</v>
      </c>
      <c r="CK182" s="1">
        <f t="shared" si="235"/>
        <v>0</v>
      </c>
      <c r="CL182" s="1">
        <f t="shared" si="236"/>
        <v>0</v>
      </c>
      <c r="CM182" s="1">
        <f t="shared" si="237"/>
        <v>9.6</v>
      </c>
      <c r="CN182" s="1">
        <f>IF(ISNA(VLOOKUP($CZ182,'Audit Values'!$A$2:$AE$439,2,FALSE)),'Preliminary SO66'!T179,VLOOKUP($CZ182,'Audit Values'!$A$2:$AE$439,20,FALSE))</f>
        <v>0</v>
      </c>
      <c r="CO182" s="1">
        <f t="shared" si="228"/>
        <v>0</v>
      </c>
      <c r="CP182" s="183">
        <v>0</v>
      </c>
      <c r="CQ182" s="1">
        <f t="shared" si="229"/>
        <v>0</v>
      </c>
      <c r="CR182" s="2">
        <f>IF(ISNA(VLOOKUP($CZ182,'Audit Values'!$A$2:$AE$439,2,FALSE)),'Preliminary SO66'!V179,VLOOKUP($CZ182,'Audit Values'!$A$2:$AE$439,22,FALSE))</f>
        <v>0</v>
      </c>
      <c r="CS182" s="1">
        <f t="shared" si="230"/>
        <v>0</v>
      </c>
      <c r="CT182" s="2">
        <f>IF(ISNA(VLOOKUP($CZ182,'Audit Values'!$A$2:$AE$439,2,FALSE)),'Preliminary SO66'!W179,VLOOKUP($CZ182,'Audit Values'!$A$2:$AE$439,23,FALSE))</f>
        <v>0</v>
      </c>
      <c r="CU182" s="1">
        <f t="shared" si="241"/>
        <v>0</v>
      </c>
      <c r="CV182" s="1">
        <f t="shared" si="242"/>
        <v>0</v>
      </c>
      <c r="CW182" s="176">
        <v>0</v>
      </c>
      <c r="CX182" s="2">
        <f>IF(CW182&gt;0,Weightings!$M$11*AR182,0)</f>
        <v>0</v>
      </c>
      <c r="CY182" s="2">
        <f t="shared" si="238"/>
        <v>0</v>
      </c>
      <c r="CZ182" s="108" t="s">
        <v>474</v>
      </c>
    </row>
    <row r="183" spans="1:104">
      <c r="A183" s="82">
        <v>388</v>
      </c>
      <c r="B183" s="4" t="s">
        <v>86</v>
      </c>
      <c r="C183" s="4" t="s">
        <v>809</v>
      </c>
      <c r="D183" s="1">
        <v>373.6</v>
      </c>
      <c r="E183" s="1">
        <v>0</v>
      </c>
      <c r="F183" s="1">
        <f t="shared" si="240"/>
        <v>373.6</v>
      </c>
      <c r="G183" s="1">
        <v>410.9</v>
      </c>
      <c r="H183" s="1">
        <v>0</v>
      </c>
      <c r="I183" s="1">
        <f t="shared" si="201"/>
        <v>410.9</v>
      </c>
      <c r="J183" s="1">
        <f t="shared" si="202"/>
        <v>413</v>
      </c>
      <c r="K183" s="1">
        <f>IF(ISNA(VLOOKUP($CZ183,'Audit Values'!$A$2:$AE$439,2,FALSE)),'Preliminary SO66'!B180,VLOOKUP($CZ183,'Audit Values'!$A$2:$AE$439,31,FALSE))</f>
        <v>412</v>
      </c>
      <c r="L183" s="1">
        <f t="shared" si="203"/>
        <v>412</v>
      </c>
      <c r="M183" s="1">
        <f>IF(ISNA(VLOOKUP($CZ183,'Audit Values'!$A$2:$AE$439,2,FALSE)),'Preliminary SO66'!Z180,VLOOKUP($CZ183,'Audit Values'!$A$2:$AE$439,26,FALSE))</f>
        <v>0</v>
      </c>
      <c r="N183" s="1">
        <f t="shared" si="204"/>
        <v>412</v>
      </c>
      <c r="O183" s="1">
        <f>IF(ISNA(VLOOKUP($CZ183,'Audit Values'!$A$2:$AE$439,2,FALSE)),'Preliminary SO66'!C180,IF(VLOOKUP($CZ183,'Audit Values'!$A$2:$AE$439,28,FALSE)="",VLOOKUP($CZ183,'Audit Values'!$A$2:$AE$439,3,FALSE),VLOOKUP($CZ183,'Audit Values'!$A$2:$AE$439,28,FALSE)))</f>
        <v>0</v>
      </c>
      <c r="P183" s="109">
        <f t="shared" si="205"/>
        <v>412</v>
      </c>
      <c r="Q183" s="110">
        <f t="shared" si="206"/>
        <v>413</v>
      </c>
      <c r="R183" s="111">
        <f t="shared" si="207"/>
        <v>413</v>
      </c>
      <c r="S183" s="1">
        <f t="shared" si="208"/>
        <v>412</v>
      </c>
      <c r="T183" s="1">
        <f t="shared" si="239"/>
        <v>1</v>
      </c>
      <c r="U183" s="1">
        <f t="shared" si="209"/>
        <v>183.8</v>
      </c>
      <c r="V183" s="1">
        <f t="shared" si="199"/>
        <v>183.8</v>
      </c>
      <c r="W183" s="1">
        <f t="shared" si="200"/>
        <v>0</v>
      </c>
      <c r="X183" s="1">
        <f>IF(ISNA(VLOOKUP($CZ183,'Audit Values'!$A$2:$AE$439,2,FALSE)),'Preliminary SO66'!D180,VLOOKUP($CZ183,'Audit Values'!$A$2:$AE$439,4,FALSE))</f>
        <v>168.3</v>
      </c>
      <c r="Y183" s="1">
        <f>ROUND((X183/6)*Weightings!$M$6,1)</f>
        <v>14</v>
      </c>
      <c r="Z183" s="1">
        <f>IF(ISNA(VLOOKUP($CZ183,'Audit Values'!$A$2:$AE$439,2,FALSE)),'Preliminary SO66'!F180,VLOOKUP($CZ183,'Audit Values'!$A$2:$AE$439,6,FALSE))</f>
        <v>0</v>
      </c>
      <c r="AA183" s="1">
        <f>ROUND((Z183/6)*Weightings!$M$7,1)</f>
        <v>0</v>
      </c>
      <c r="AB183" s="2">
        <f>IF(ISNA(VLOOKUP($CZ183,'Audit Values'!$A$2:$AE$439,2,FALSE)),'Preliminary SO66'!H180,VLOOKUP($CZ183,'Audit Values'!$A$2:$AE$439,8,FALSE))</f>
        <v>110</v>
      </c>
      <c r="AC183" s="1">
        <f>ROUND(AB183*Weightings!$M$8,1)</f>
        <v>50.2</v>
      </c>
      <c r="AD183" s="1">
        <f t="shared" si="197"/>
        <v>0</v>
      </c>
      <c r="AE183" s="185">
        <v>40</v>
      </c>
      <c r="AF183" s="1">
        <f>AE183*Weightings!$M$9</f>
        <v>1.9</v>
      </c>
      <c r="AG183" s="1">
        <f>IF(ISNA(VLOOKUP($CZ183,'Audit Values'!$A$2:$AE$439,2,FALSE)),'Preliminary SO66'!L180,VLOOKUP($CZ183,'Audit Values'!$A$2:$AE$439,12,FALSE))</f>
        <v>0</v>
      </c>
      <c r="AH183" s="1">
        <f>ROUND(AG183*Weightings!$M$10,1)</f>
        <v>0</v>
      </c>
      <c r="AI183" s="1">
        <f>IF(ISNA(VLOOKUP($CZ183,'Audit Values'!$A$2:$AE$439,2,FALSE)),'Preliminary SO66'!O180,VLOOKUP($CZ183,'Audit Values'!$A$2:$AE$439,15,FALSE))</f>
        <v>32.4</v>
      </c>
      <c r="AJ183" s="1">
        <f t="shared" si="210"/>
        <v>13.7</v>
      </c>
      <c r="AK183" s="1">
        <f>CC183/Weightings!$M$5</f>
        <v>0</v>
      </c>
      <c r="AL183" s="1">
        <f>CD183/Weightings!$M$5</f>
        <v>0</v>
      </c>
      <c r="AM183" s="1">
        <f>CH183/Weightings!$M$5</f>
        <v>0</v>
      </c>
      <c r="AN183" s="1">
        <f t="shared" si="211"/>
        <v>1.1000000000000001</v>
      </c>
      <c r="AO183" s="1">
        <f>IF(ISNA(VLOOKUP($CZ183,'Audit Values'!$A$2:$AE$439,2,FALSE)),'Preliminary SO66'!X180,VLOOKUP($CZ183,'Audit Values'!$A$2:$AE$439,24,FALSE))</f>
        <v>0</v>
      </c>
      <c r="AP183" s="188">
        <v>322835</v>
      </c>
      <c r="AQ183" s="113">
        <f>AP183/Weightings!$M$5</f>
        <v>84.1</v>
      </c>
      <c r="AR183" s="113">
        <f t="shared" si="212"/>
        <v>676.7</v>
      </c>
      <c r="AS183" s="1">
        <f t="shared" si="213"/>
        <v>760.8</v>
      </c>
      <c r="AT183" s="1">
        <f t="shared" si="214"/>
        <v>760.8</v>
      </c>
      <c r="AU183" s="2">
        <f t="shared" si="231"/>
        <v>0</v>
      </c>
      <c r="AV183" s="82">
        <f>IF(ISNA(VLOOKUP($CZ183,'Audit Values'!$A$2:$AC$360,2,FALSE)),"",IF(AND(Weightings!H183&gt;0,VLOOKUP($CZ183,'Audit Values'!$A$2:$AC$360,29,FALSE)&lt;Weightings!H183),Weightings!H183,VLOOKUP($CZ183,'Audit Values'!$A$2:$AC$360,29,FALSE)))</f>
        <v>26</v>
      </c>
      <c r="AW183" s="82" t="str">
        <f>IF(ISNA(VLOOKUP($CZ183,'Audit Values'!$A$2:$AD$360,2,FALSE)),"",VLOOKUP($CZ183,'Audit Values'!$A$2:$AD$360,30,FALSE))</f>
        <v>A</v>
      </c>
      <c r="AX183" s="82" t="str">
        <f>IF(Weightings!G183="","",IF(Weightings!I183="Pending","PX","R"))</f>
        <v/>
      </c>
      <c r="AY183" s="114">
        <f>AR183*Weightings!$M$5+AU183</f>
        <v>2597175</v>
      </c>
      <c r="AZ183" s="2">
        <f>AT183*Weightings!$M$5+AU183</f>
        <v>2919950</v>
      </c>
      <c r="BA183" s="2">
        <f>IF(Weightings!G183&gt;0,Weightings!G183,'Preliminary SO66'!AB180)</f>
        <v>2967542</v>
      </c>
      <c r="BB183" s="2">
        <f t="shared" si="215"/>
        <v>2919950</v>
      </c>
      <c r="BC183" s="124"/>
      <c r="BD183" s="124">
        <f>Weightings!E183</f>
        <v>0</v>
      </c>
      <c r="BE183" s="124">
        <f>Weightings!F183</f>
        <v>0</v>
      </c>
      <c r="BF183" s="2">
        <f t="shared" si="216"/>
        <v>0</v>
      </c>
      <c r="BG183" s="2">
        <f t="shared" si="217"/>
        <v>2919950</v>
      </c>
      <c r="BH183" s="2">
        <f>MAX(ROUND(((AR183-AO183)*4433)+AP183,0),ROUND(((AR183-AO183)*4433)+Weightings!B183,0))</f>
        <v>3382293</v>
      </c>
      <c r="BI183" s="174">
        <v>0.3</v>
      </c>
      <c r="BJ183" s="2">
        <f t="shared" si="191"/>
        <v>1014688</v>
      </c>
      <c r="BK183" s="173">
        <v>1021337</v>
      </c>
      <c r="BL183" s="2">
        <f t="shared" si="194"/>
        <v>1014688</v>
      </c>
      <c r="BM183" s="3">
        <f t="shared" si="232"/>
        <v>0.3</v>
      </c>
      <c r="BN183" s="1">
        <f t="shared" si="218"/>
        <v>0</v>
      </c>
      <c r="BO183" s="4" t="b">
        <f t="shared" si="219"/>
        <v>0</v>
      </c>
      <c r="BP183" s="5">
        <f t="shared" si="220"/>
        <v>0</v>
      </c>
      <c r="BQ183" s="6">
        <f t="shared" si="195"/>
        <v>0</v>
      </c>
      <c r="BR183" s="4">
        <f t="shared" si="221"/>
        <v>0</v>
      </c>
      <c r="BS183" s="4" t="b">
        <f t="shared" si="222"/>
        <v>1</v>
      </c>
      <c r="BT183" s="4">
        <f t="shared" si="223"/>
        <v>138.6</v>
      </c>
      <c r="BU183" s="6">
        <f t="shared" si="196"/>
        <v>0.44613399999999998</v>
      </c>
      <c r="BV183" s="1">
        <f t="shared" si="224"/>
        <v>183.8</v>
      </c>
      <c r="BW183" s="1">
        <f t="shared" si="225"/>
        <v>0</v>
      </c>
      <c r="BX183" s="116">
        <v>280.5</v>
      </c>
      <c r="BY183" s="7">
        <f t="shared" si="233"/>
        <v>0.12</v>
      </c>
      <c r="BZ183" s="7">
        <f>IF(ROUND((Weightings!$P$5*BY183^Weightings!$P$6*Weightings!$P$8 ),2)&lt;Weightings!$P$7,Weightings!$P$7,ROUND((Weightings!$P$5*BY183^Weightings!$P$6*Weightings!$P$8 ),2))</f>
        <v>1625.6</v>
      </c>
      <c r="CA183" s="8">
        <f>ROUND(BZ183/Weightings!$M$5,4)</f>
        <v>0.42359999999999998</v>
      </c>
      <c r="CB183" s="1">
        <f t="shared" si="234"/>
        <v>13.7</v>
      </c>
      <c r="CC183" s="173">
        <v>0</v>
      </c>
      <c r="CD183" s="173">
        <v>0</v>
      </c>
      <c r="CE183" s="173">
        <v>0</v>
      </c>
      <c r="CF183" s="177">
        <v>0</v>
      </c>
      <c r="CG183" s="2">
        <f>AS183*Weightings!$M$5*CF183</f>
        <v>0</v>
      </c>
      <c r="CH183" s="2">
        <f t="shared" si="198"/>
        <v>0</v>
      </c>
      <c r="CI183" s="117">
        <f t="shared" si="226"/>
        <v>0.26700000000000002</v>
      </c>
      <c r="CJ183" s="4">
        <f t="shared" si="227"/>
        <v>1.5</v>
      </c>
      <c r="CK183" s="1">
        <f t="shared" si="235"/>
        <v>0</v>
      </c>
      <c r="CL183" s="1">
        <f t="shared" si="236"/>
        <v>0</v>
      </c>
      <c r="CM183" s="1">
        <f t="shared" si="237"/>
        <v>0</v>
      </c>
      <c r="CN183" s="1">
        <f>IF(ISNA(VLOOKUP($CZ183,'Audit Values'!$A$2:$AE$439,2,FALSE)),'Preliminary SO66'!T180,VLOOKUP($CZ183,'Audit Values'!$A$2:$AE$439,20,FALSE))</f>
        <v>1</v>
      </c>
      <c r="CO183" s="1">
        <f t="shared" si="228"/>
        <v>1.1000000000000001</v>
      </c>
      <c r="CP183" s="183">
        <v>0</v>
      </c>
      <c r="CQ183" s="1">
        <f t="shared" si="229"/>
        <v>0</v>
      </c>
      <c r="CR183" s="2">
        <f>IF(ISNA(VLOOKUP($CZ183,'Audit Values'!$A$2:$AE$439,2,FALSE)),'Preliminary SO66'!V180,VLOOKUP($CZ183,'Audit Values'!$A$2:$AE$439,22,FALSE))</f>
        <v>0</v>
      </c>
      <c r="CS183" s="1">
        <f t="shared" si="230"/>
        <v>0</v>
      </c>
      <c r="CT183" s="2">
        <f>IF(ISNA(VLOOKUP($CZ183,'Audit Values'!$A$2:$AE$439,2,FALSE)),'Preliminary SO66'!W180,VLOOKUP($CZ183,'Audit Values'!$A$2:$AE$439,23,FALSE))</f>
        <v>0</v>
      </c>
      <c r="CU183" s="1">
        <f t="shared" ref="CU183:CU199" si="243">CT183*0.08</f>
        <v>0</v>
      </c>
      <c r="CV183" s="1">
        <f t="shared" ref="CV183:CV199" si="244">CO183+CQ183+CS183+CU183</f>
        <v>1.1000000000000001</v>
      </c>
      <c r="CW183" s="176">
        <v>0</v>
      </c>
      <c r="CX183" s="2">
        <f>IF(CW183&gt;0,Weightings!$M$11*AR183,0)</f>
        <v>0</v>
      </c>
      <c r="CY183" s="2">
        <f t="shared" si="238"/>
        <v>0</v>
      </c>
      <c r="CZ183" s="108" t="s">
        <v>475</v>
      </c>
    </row>
    <row r="184" spans="1:104">
      <c r="A184" s="82">
        <v>389</v>
      </c>
      <c r="B184" s="4" t="s">
        <v>84</v>
      </c>
      <c r="C184" s="4" t="s">
        <v>810</v>
      </c>
      <c r="D184" s="1">
        <v>607.70000000000005</v>
      </c>
      <c r="E184" s="1">
        <v>0</v>
      </c>
      <c r="F184" s="1">
        <f t="shared" si="240"/>
        <v>607.70000000000005</v>
      </c>
      <c r="G184" s="1">
        <v>621</v>
      </c>
      <c r="H184" s="1">
        <v>0</v>
      </c>
      <c r="I184" s="1">
        <f t="shared" si="201"/>
        <v>621</v>
      </c>
      <c r="J184" s="1">
        <f t="shared" si="202"/>
        <v>628</v>
      </c>
      <c r="K184" s="1">
        <f>IF(ISNA(VLOOKUP($CZ184,'Audit Values'!$A$2:$AE$439,2,FALSE)),'Preliminary SO66'!B181,VLOOKUP($CZ184,'Audit Values'!$A$2:$AE$439,31,FALSE))</f>
        <v>628</v>
      </c>
      <c r="L184" s="1">
        <f t="shared" si="203"/>
        <v>628</v>
      </c>
      <c r="M184" s="1">
        <f>IF(ISNA(VLOOKUP($CZ184,'Audit Values'!$A$2:$AE$439,2,FALSE)),'Preliminary SO66'!Z181,VLOOKUP($CZ184,'Audit Values'!$A$2:$AE$439,26,FALSE))</f>
        <v>0</v>
      </c>
      <c r="N184" s="1">
        <f t="shared" si="204"/>
        <v>628</v>
      </c>
      <c r="O184" s="1">
        <f>IF(ISNA(VLOOKUP($CZ184,'Audit Values'!$A$2:$AE$439,2,FALSE)),'Preliminary SO66'!C181,IF(VLOOKUP($CZ184,'Audit Values'!$A$2:$AE$439,28,FALSE)="",VLOOKUP($CZ184,'Audit Values'!$A$2:$AE$439,3,FALSE),VLOOKUP($CZ184,'Audit Values'!$A$2:$AE$439,28,FALSE)))</f>
        <v>15</v>
      </c>
      <c r="P184" s="109">
        <f t="shared" si="205"/>
        <v>643</v>
      </c>
      <c r="Q184" s="110">
        <f t="shared" si="206"/>
        <v>643</v>
      </c>
      <c r="R184" s="111">
        <f t="shared" si="207"/>
        <v>643</v>
      </c>
      <c r="S184" s="1">
        <f t="shared" si="208"/>
        <v>643</v>
      </c>
      <c r="T184" s="1">
        <f t="shared" si="239"/>
        <v>0</v>
      </c>
      <c r="U184" s="1">
        <f t="shared" si="209"/>
        <v>236.4</v>
      </c>
      <c r="V184" s="1">
        <f>MAX(BN184,BR184,BV184)</f>
        <v>236.4</v>
      </c>
      <c r="W184" s="1">
        <f t="shared" si="200"/>
        <v>0</v>
      </c>
      <c r="X184" s="1">
        <f>IF(ISNA(VLOOKUP($CZ184,'Audit Values'!$A$2:$AE$439,2,FALSE)),'Preliminary SO66'!D181,VLOOKUP($CZ184,'Audit Values'!$A$2:$AE$439,4,FALSE))</f>
        <v>103.8</v>
      </c>
      <c r="Y184" s="1">
        <f>ROUND((X184/6)*Weightings!$M$6,1)</f>
        <v>8.6999999999999993</v>
      </c>
      <c r="Z184" s="1">
        <f>IF(ISNA(VLOOKUP($CZ184,'Audit Values'!$A$2:$AE$439,2,FALSE)),'Preliminary SO66'!F181,VLOOKUP($CZ184,'Audit Values'!$A$2:$AE$439,6,FALSE))</f>
        <v>1.2</v>
      </c>
      <c r="AA184" s="1">
        <f>ROUND((Z184/6)*Weightings!$M$7,1)</f>
        <v>0.1</v>
      </c>
      <c r="AB184" s="2">
        <f>IF(ISNA(VLOOKUP($CZ184,'Audit Values'!$A$2:$AE$439,2,FALSE)),'Preliminary SO66'!H181,VLOOKUP($CZ184,'Audit Values'!$A$2:$AE$439,8,FALSE))</f>
        <v>357</v>
      </c>
      <c r="AC184" s="1">
        <f>ROUND(AB184*Weightings!$M$8,1)</f>
        <v>162.80000000000001</v>
      </c>
      <c r="AD184" s="1">
        <f t="shared" si="197"/>
        <v>37.5</v>
      </c>
      <c r="AE184" s="185">
        <v>34</v>
      </c>
      <c r="AF184" s="1">
        <f>AE184*Weightings!$M$9</f>
        <v>1.6</v>
      </c>
      <c r="AG184" s="1">
        <f>IF(ISNA(VLOOKUP($CZ184,'Audit Values'!$A$2:$AE$439,2,FALSE)),'Preliminary SO66'!L181,VLOOKUP($CZ184,'Audit Values'!$A$2:$AE$439,12,FALSE))</f>
        <v>0</v>
      </c>
      <c r="AH184" s="1">
        <f>ROUND(AG184*Weightings!$M$10,1)</f>
        <v>0</v>
      </c>
      <c r="AI184" s="1">
        <f>IF(ISNA(VLOOKUP($CZ184,'Audit Values'!$A$2:$AE$439,2,FALSE)),'Preliminary SO66'!O181,VLOOKUP($CZ184,'Audit Values'!$A$2:$AE$439,15,FALSE))</f>
        <v>196</v>
      </c>
      <c r="AJ184" s="1">
        <f t="shared" si="210"/>
        <v>65.5</v>
      </c>
      <c r="AK184" s="1">
        <f>CC184/Weightings!$M$5</f>
        <v>0</v>
      </c>
      <c r="AL184" s="1">
        <f>CD184/Weightings!$M$5</f>
        <v>0</v>
      </c>
      <c r="AM184" s="1">
        <f>CH184/Weightings!$M$5</f>
        <v>0</v>
      </c>
      <c r="AN184" s="1">
        <f t="shared" si="211"/>
        <v>0</v>
      </c>
      <c r="AO184" s="1">
        <f>IF(ISNA(VLOOKUP($CZ184,'Audit Values'!$A$2:$AE$439,2,FALSE)),'Preliminary SO66'!X181,VLOOKUP($CZ184,'Audit Values'!$A$2:$AE$439,24,FALSE))</f>
        <v>0</v>
      </c>
      <c r="AP184" s="188">
        <v>569509</v>
      </c>
      <c r="AQ184" s="113">
        <f>AP184/Weightings!$M$5</f>
        <v>148.4</v>
      </c>
      <c r="AR184" s="113">
        <f t="shared" si="212"/>
        <v>1155.5999999999999</v>
      </c>
      <c r="AS184" s="1">
        <f t="shared" si="213"/>
        <v>1304</v>
      </c>
      <c r="AT184" s="1">
        <f t="shared" si="214"/>
        <v>1304</v>
      </c>
      <c r="AU184" s="2">
        <f t="shared" si="231"/>
        <v>0</v>
      </c>
      <c r="AV184" s="82">
        <f>IF(ISNA(VLOOKUP($CZ184,'Audit Values'!$A$2:$AC$360,2,FALSE)),"",IF(AND(Weightings!H184&gt;0,VLOOKUP($CZ184,'Audit Values'!$A$2:$AC$360,29,FALSE)&lt;Weightings!H184),Weightings!H184,VLOOKUP($CZ184,'Audit Values'!$A$2:$AC$360,29,FALSE)))</f>
        <v>31</v>
      </c>
      <c r="AW184" s="82" t="str">
        <f>IF(ISNA(VLOOKUP($CZ184,'Audit Values'!$A$2:$AD$360,2,FALSE)),"",VLOOKUP($CZ184,'Audit Values'!$A$2:$AD$360,30,FALSE))</f>
        <v>A</v>
      </c>
      <c r="AX184" s="82" t="str">
        <f>IF(Weightings!G184="","",IF(Weightings!I184="Pending","PX","R"))</f>
        <v>R</v>
      </c>
      <c r="AY184" s="114">
        <f>AR184*Weightings!$M$5+AU184</f>
        <v>4435193</v>
      </c>
      <c r="AZ184" s="2">
        <f>AT184*Weightings!$M$5+AU184</f>
        <v>5004752</v>
      </c>
      <c r="BA184" s="2">
        <f>IF(Weightings!G184&gt;0,Weightings!G184,'Preliminary SO66'!AB181)</f>
        <v>5080744</v>
      </c>
      <c r="BB184" s="2">
        <f t="shared" si="215"/>
        <v>5004752</v>
      </c>
      <c r="BC184" s="124"/>
      <c r="BD184" s="124">
        <f>Weightings!E184</f>
        <v>0</v>
      </c>
      <c r="BE184" s="124">
        <f>Weightings!F184</f>
        <v>0</v>
      </c>
      <c r="BF184" s="2">
        <f t="shared" si="216"/>
        <v>0</v>
      </c>
      <c r="BG184" s="2">
        <f t="shared" si="217"/>
        <v>5004752</v>
      </c>
      <c r="BH184" s="2">
        <f>MAX(ROUND(((AR184-AO184)*4433)+AP184,0),ROUND(((AR184-AO184)*4433)+Weightings!B184,0))</f>
        <v>5692284</v>
      </c>
      <c r="BI184" s="174">
        <v>0.3</v>
      </c>
      <c r="BJ184" s="2">
        <f t="shared" si="191"/>
        <v>1707685</v>
      </c>
      <c r="BK184" s="173">
        <v>1686977</v>
      </c>
      <c r="BL184" s="2">
        <f t="shared" si="194"/>
        <v>1686977</v>
      </c>
      <c r="BM184" s="3">
        <f t="shared" si="232"/>
        <v>0.2964</v>
      </c>
      <c r="BN184" s="1">
        <f t="shared" si="218"/>
        <v>0</v>
      </c>
      <c r="BO184" s="4" t="b">
        <f t="shared" si="219"/>
        <v>0</v>
      </c>
      <c r="BP184" s="5">
        <f t="shared" si="220"/>
        <v>0</v>
      </c>
      <c r="BQ184" s="6">
        <f t="shared" si="195"/>
        <v>0</v>
      </c>
      <c r="BR184" s="4">
        <f t="shared" si="221"/>
        <v>0</v>
      </c>
      <c r="BS184" s="4" t="b">
        <f t="shared" si="222"/>
        <v>1</v>
      </c>
      <c r="BT184" s="4">
        <f t="shared" si="223"/>
        <v>424.46249999999998</v>
      </c>
      <c r="BU184" s="6">
        <f t="shared" si="196"/>
        <v>0.36765300000000001</v>
      </c>
      <c r="BV184" s="1">
        <f t="shared" si="224"/>
        <v>236.4</v>
      </c>
      <c r="BW184" s="1">
        <f t="shared" si="225"/>
        <v>0</v>
      </c>
      <c r="BX184" s="116">
        <v>580</v>
      </c>
      <c r="BY184" s="7">
        <f t="shared" si="233"/>
        <v>0.34</v>
      </c>
      <c r="BZ184" s="7">
        <f>IF(ROUND((Weightings!$P$5*BY184^Weightings!$P$6*Weightings!$P$8 ),2)&lt;Weightings!$P$7,Weightings!$P$7,ROUND((Weightings!$P$5*BY184^Weightings!$P$6*Weightings!$P$8 ),2))</f>
        <v>1281.8699999999999</v>
      </c>
      <c r="CA184" s="8">
        <f>ROUND(BZ184/Weightings!$M$5,4)</f>
        <v>0.33400000000000002</v>
      </c>
      <c r="CB184" s="1">
        <f t="shared" si="234"/>
        <v>65.5</v>
      </c>
      <c r="CC184" s="173">
        <v>0</v>
      </c>
      <c r="CD184" s="173">
        <v>0</v>
      </c>
      <c r="CE184" s="173">
        <v>0</v>
      </c>
      <c r="CF184" s="177">
        <v>0</v>
      </c>
      <c r="CG184" s="2">
        <f>AS184*Weightings!$M$5*CF184</f>
        <v>0</v>
      </c>
      <c r="CH184" s="2">
        <f t="shared" si="198"/>
        <v>0</v>
      </c>
      <c r="CI184" s="117">
        <f t="shared" si="226"/>
        <v>0.55500000000000005</v>
      </c>
      <c r="CJ184" s="4">
        <f t="shared" si="227"/>
        <v>1.1000000000000001</v>
      </c>
      <c r="CK184" s="1">
        <f t="shared" si="235"/>
        <v>37.5</v>
      </c>
      <c r="CL184" s="1">
        <f t="shared" si="236"/>
        <v>0</v>
      </c>
      <c r="CM184" s="1">
        <f t="shared" si="237"/>
        <v>0</v>
      </c>
      <c r="CN184" s="1">
        <f>IF(ISNA(VLOOKUP($CZ184,'Audit Values'!$A$2:$AE$439,2,FALSE)),'Preliminary SO66'!T181,VLOOKUP($CZ184,'Audit Values'!$A$2:$AE$439,20,FALSE))</f>
        <v>0</v>
      </c>
      <c r="CO184" s="1">
        <f t="shared" si="228"/>
        <v>0</v>
      </c>
      <c r="CP184" s="183">
        <v>0</v>
      </c>
      <c r="CQ184" s="1">
        <f t="shared" si="229"/>
        <v>0</v>
      </c>
      <c r="CR184" s="2">
        <f>IF(ISNA(VLOOKUP($CZ184,'Audit Values'!$A$2:$AE$439,2,FALSE)),'Preliminary SO66'!V181,VLOOKUP($CZ184,'Audit Values'!$A$2:$AE$439,22,FALSE))</f>
        <v>0</v>
      </c>
      <c r="CS184" s="1">
        <f t="shared" si="230"/>
        <v>0</v>
      </c>
      <c r="CT184" s="2">
        <f>IF(ISNA(VLOOKUP($CZ184,'Audit Values'!$A$2:$AE$439,2,FALSE)),'Preliminary SO66'!W181,VLOOKUP($CZ184,'Audit Values'!$A$2:$AE$439,23,FALSE))</f>
        <v>0</v>
      </c>
      <c r="CU184" s="1">
        <f t="shared" si="243"/>
        <v>0</v>
      </c>
      <c r="CV184" s="1">
        <f t="shared" si="244"/>
        <v>0</v>
      </c>
      <c r="CW184" s="176">
        <v>0</v>
      </c>
      <c r="CX184" s="2">
        <f>IF(CW184&gt;0,Weightings!$M$11*AR184,0)</f>
        <v>0</v>
      </c>
      <c r="CY184" s="2">
        <f t="shared" si="238"/>
        <v>0</v>
      </c>
      <c r="CZ184" s="108" t="s">
        <v>476</v>
      </c>
    </row>
    <row r="185" spans="1:104">
      <c r="A185" s="82">
        <v>390</v>
      </c>
      <c r="B185" s="4" t="s">
        <v>84</v>
      </c>
      <c r="C185" s="4" t="s">
        <v>811</v>
      </c>
      <c r="D185" s="1">
        <v>84</v>
      </c>
      <c r="E185" s="1">
        <v>0</v>
      </c>
      <c r="F185" s="1">
        <f t="shared" si="240"/>
        <v>84</v>
      </c>
      <c r="G185" s="1">
        <v>82.5</v>
      </c>
      <c r="H185" s="1">
        <v>0</v>
      </c>
      <c r="I185" s="1">
        <f t="shared" si="201"/>
        <v>82.5</v>
      </c>
      <c r="J185" s="1">
        <f t="shared" si="202"/>
        <v>82</v>
      </c>
      <c r="K185" s="1">
        <f>IF(ISNA(VLOOKUP($CZ185,'Audit Values'!$A$2:$AE$439,2,FALSE)),'Preliminary SO66'!B182,VLOOKUP($CZ185,'Audit Values'!$A$2:$AE$439,31,FALSE))</f>
        <v>82</v>
      </c>
      <c r="L185" s="1">
        <f t="shared" si="203"/>
        <v>82.8</v>
      </c>
      <c r="M185" s="1">
        <f>IF(ISNA(VLOOKUP($CZ185,'Audit Values'!$A$2:$AE$439,2,FALSE)),'Preliminary SO66'!Z182,VLOOKUP($CZ185,'Audit Values'!$A$2:$AE$439,26,FALSE))</f>
        <v>0</v>
      </c>
      <c r="N185" s="1">
        <f t="shared" si="204"/>
        <v>82.8</v>
      </c>
      <c r="O185" s="1">
        <f>IF(ISNA(VLOOKUP($CZ185,'Audit Values'!$A$2:$AE$439,2,FALSE)),'Preliminary SO66'!C182,IF(VLOOKUP($CZ185,'Audit Values'!$A$2:$AE$439,28,FALSE)="",VLOOKUP($CZ185,'Audit Values'!$A$2:$AE$439,3,FALSE),VLOOKUP($CZ185,'Audit Values'!$A$2:$AE$439,28,FALSE)))</f>
        <v>0.5</v>
      </c>
      <c r="P185" s="109">
        <f t="shared" si="205"/>
        <v>82.5</v>
      </c>
      <c r="Q185" s="110">
        <f t="shared" si="206"/>
        <v>82.5</v>
      </c>
      <c r="R185" s="111">
        <f t="shared" si="207"/>
        <v>82.5</v>
      </c>
      <c r="S185" s="1">
        <f t="shared" si="208"/>
        <v>83.3</v>
      </c>
      <c r="T185" s="1">
        <f t="shared" si="239"/>
        <v>0</v>
      </c>
      <c r="U185" s="1">
        <f t="shared" si="209"/>
        <v>84.5</v>
      </c>
      <c r="V185" s="1">
        <f t="shared" si="199"/>
        <v>84.5</v>
      </c>
      <c r="W185" s="1">
        <f t="shared" si="200"/>
        <v>0</v>
      </c>
      <c r="X185" s="1">
        <f>IF(ISNA(VLOOKUP($CZ185,'Audit Values'!$A$2:$AE$439,2,FALSE)),'Preliminary SO66'!D182,VLOOKUP($CZ185,'Audit Values'!$A$2:$AE$439,4,FALSE))</f>
        <v>0</v>
      </c>
      <c r="Y185" s="1">
        <f>ROUND((X185/6)*Weightings!$M$6,1)</f>
        <v>0</v>
      </c>
      <c r="Z185" s="1">
        <f>IF(ISNA(VLOOKUP($CZ185,'Audit Values'!$A$2:$AE$439,2,FALSE)),'Preliminary SO66'!F182,VLOOKUP($CZ185,'Audit Values'!$A$2:$AE$439,6,FALSE))</f>
        <v>0</v>
      </c>
      <c r="AA185" s="1">
        <f>ROUND((Z185/6)*Weightings!$M$7,1)</f>
        <v>0</v>
      </c>
      <c r="AB185" s="2">
        <f>IF(ISNA(VLOOKUP($CZ185,'Audit Values'!$A$2:$AE$439,2,FALSE)),'Preliminary SO66'!H182,VLOOKUP($CZ185,'Audit Values'!$A$2:$AE$439,8,FALSE))</f>
        <v>37</v>
      </c>
      <c r="AC185" s="1">
        <f>ROUND(AB185*Weightings!$M$8,1)</f>
        <v>16.899999999999999</v>
      </c>
      <c r="AD185" s="1">
        <f t="shared" si="197"/>
        <v>2.4</v>
      </c>
      <c r="AE185" s="185">
        <v>8</v>
      </c>
      <c r="AF185" s="1">
        <f>AE185*Weightings!$M$9</f>
        <v>0.4</v>
      </c>
      <c r="AG185" s="1">
        <f>IF(ISNA(VLOOKUP($CZ185,'Audit Values'!$A$2:$AE$439,2,FALSE)),'Preliminary SO66'!L182,VLOOKUP($CZ185,'Audit Values'!$A$2:$AE$439,12,FALSE))</f>
        <v>0</v>
      </c>
      <c r="AH185" s="1">
        <f>ROUND(AG185*Weightings!$M$10,1)</f>
        <v>0</v>
      </c>
      <c r="AI185" s="1">
        <f>IF(ISNA(VLOOKUP($CZ185,'Audit Values'!$A$2:$AE$439,2,FALSE)),'Preliminary SO66'!O182,VLOOKUP($CZ185,'Audit Values'!$A$2:$AE$439,15,FALSE))</f>
        <v>22</v>
      </c>
      <c r="AJ185" s="1">
        <f t="shared" si="210"/>
        <v>9.6999999999999993</v>
      </c>
      <c r="AK185" s="1">
        <f>CC185/Weightings!$M$5</f>
        <v>0</v>
      </c>
      <c r="AL185" s="1">
        <f>CD185/Weightings!$M$5</f>
        <v>0</v>
      </c>
      <c r="AM185" s="1">
        <f>CH185/Weightings!$M$5</f>
        <v>0</v>
      </c>
      <c r="AN185" s="1">
        <f t="shared" si="211"/>
        <v>0</v>
      </c>
      <c r="AO185" s="1">
        <f>IF(ISNA(VLOOKUP($CZ185,'Audit Values'!$A$2:$AE$439,2,FALSE)),'Preliminary SO66'!X182,VLOOKUP($CZ185,'Audit Values'!$A$2:$AE$439,24,FALSE))</f>
        <v>0</v>
      </c>
      <c r="AP185" s="188">
        <v>149947</v>
      </c>
      <c r="AQ185" s="113">
        <f>AP185/Weightings!$M$5</f>
        <v>39.1</v>
      </c>
      <c r="AR185" s="113">
        <f t="shared" si="212"/>
        <v>197.2</v>
      </c>
      <c r="AS185" s="1">
        <f t="shared" si="213"/>
        <v>236.3</v>
      </c>
      <c r="AT185" s="1">
        <f t="shared" si="214"/>
        <v>236.3</v>
      </c>
      <c r="AU185" s="2">
        <f t="shared" si="231"/>
        <v>0</v>
      </c>
      <c r="AV185" s="82">
        <f>IF(ISNA(VLOOKUP($CZ185,'Audit Values'!$A$2:$AC$360,2,FALSE)),"",IF(AND(Weightings!H185&gt;0,VLOOKUP($CZ185,'Audit Values'!$A$2:$AC$360,29,FALSE)&lt;Weightings!H185),Weightings!H185,VLOOKUP($CZ185,'Audit Values'!$A$2:$AC$360,29,FALSE)))</f>
        <v>24</v>
      </c>
      <c r="AW185" s="82" t="str">
        <f>IF(ISNA(VLOOKUP($CZ185,'Audit Values'!$A$2:$AD$360,2,FALSE)),"",VLOOKUP($CZ185,'Audit Values'!$A$2:$AD$360,30,FALSE))</f>
        <v>A</v>
      </c>
      <c r="AX185" s="82" t="str">
        <f>IF(Weightings!G185="","",IF(Weightings!I185="Pending","PX","R"))</f>
        <v/>
      </c>
      <c r="AY185" s="114">
        <f>AR185*Weightings!$M$5+AU185</f>
        <v>756854</v>
      </c>
      <c r="AZ185" s="2">
        <f>AT185*Weightings!$M$5+AU185</f>
        <v>906919</v>
      </c>
      <c r="BA185" s="2">
        <f>IF(Weightings!G185&gt;0,Weightings!G185,'Preliminary SO66'!AB182)</f>
        <v>1098052</v>
      </c>
      <c r="BB185" s="2">
        <f t="shared" si="215"/>
        <v>906919</v>
      </c>
      <c r="BC185" s="124"/>
      <c r="BD185" s="124">
        <f>Weightings!E185</f>
        <v>0</v>
      </c>
      <c r="BE185" s="124">
        <f>Weightings!F185</f>
        <v>0</v>
      </c>
      <c r="BF185" s="2">
        <f t="shared" si="216"/>
        <v>0</v>
      </c>
      <c r="BG185" s="2">
        <f t="shared" si="217"/>
        <v>906919</v>
      </c>
      <c r="BH185" s="2">
        <f>MAX(ROUND(((AR185-AO185)*4433)+AP185,0),ROUND(((AR185-AO185)*4433)+Weightings!B185,0))</f>
        <v>1024135</v>
      </c>
      <c r="BI185" s="174">
        <v>0.3</v>
      </c>
      <c r="BJ185" s="2">
        <f t="shared" ref="BJ185:BJ215" si="245">BH185*BI185</f>
        <v>307241</v>
      </c>
      <c r="BK185" s="173">
        <v>305000</v>
      </c>
      <c r="BL185" s="2">
        <f t="shared" si="194"/>
        <v>305000</v>
      </c>
      <c r="BM185" s="3">
        <f t="shared" si="232"/>
        <v>0.29780000000000001</v>
      </c>
      <c r="BN185" s="1">
        <f t="shared" si="218"/>
        <v>84.5</v>
      </c>
      <c r="BO185" s="4" t="b">
        <f t="shared" si="219"/>
        <v>0</v>
      </c>
      <c r="BP185" s="5">
        <f t="shared" si="220"/>
        <v>0</v>
      </c>
      <c r="BQ185" s="6">
        <f t="shared" si="195"/>
        <v>0</v>
      </c>
      <c r="BR185" s="4">
        <f t="shared" si="221"/>
        <v>0</v>
      </c>
      <c r="BS185" s="4" t="b">
        <f t="shared" si="222"/>
        <v>0</v>
      </c>
      <c r="BT185" s="4">
        <f t="shared" si="223"/>
        <v>0</v>
      </c>
      <c r="BU185" s="6">
        <f t="shared" si="196"/>
        <v>0</v>
      </c>
      <c r="BV185" s="1">
        <f t="shared" si="224"/>
        <v>0</v>
      </c>
      <c r="BW185" s="1">
        <f t="shared" si="225"/>
        <v>0</v>
      </c>
      <c r="BX185" s="116">
        <v>210</v>
      </c>
      <c r="BY185" s="7">
        <f t="shared" si="233"/>
        <v>0.1</v>
      </c>
      <c r="BZ185" s="7">
        <f>IF(ROUND((Weightings!$P$5*BY185^Weightings!$P$6*Weightings!$P$8 ),2)&lt;Weightings!$P$7,Weightings!$P$7,ROUND((Weightings!$P$5*BY185^Weightings!$P$6*Weightings!$P$8 ),2))</f>
        <v>1694.63</v>
      </c>
      <c r="CA185" s="8">
        <f>ROUND(BZ185/Weightings!$M$5,4)</f>
        <v>0.4415</v>
      </c>
      <c r="CB185" s="1">
        <f t="shared" si="234"/>
        <v>9.6999999999999993</v>
      </c>
      <c r="CC185" s="173">
        <v>0</v>
      </c>
      <c r="CD185" s="173">
        <v>0</v>
      </c>
      <c r="CE185" s="173">
        <v>0</v>
      </c>
      <c r="CF185" s="177">
        <v>0</v>
      </c>
      <c r="CG185" s="2">
        <f>AS185*Weightings!$M$5*CF185</f>
        <v>0</v>
      </c>
      <c r="CH185" s="2">
        <f t="shared" si="198"/>
        <v>0</v>
      </c>
      <c r="CI185" s="117">
        <f t="shared" si="226"/>
        <v>0.44400000000000001</v>
      </c>
      <c r="CJ185" s="4">
        <f t="shared" si="227"/>
        <v>0.4</v>
      </c>
      <c r="CK185" s="1">
        <f t="shared" si="235"/>
        <v>0</v>
      </c>
      <c r="CL185" s="1">
        <f t="shared" si="236"/>
        <v>0</v>
      </c>
      <c r="CM185" s="1">
        <f t="shared" si="237"/>
        <v>2.4</v>
      </c>
      <c r="CN185" s="1">
        <f>IF(ISNA(VLOOKUP($CZ185,'Audit Values'!$A$2:$AE$439,2,FALSE)),'Preliminary SO66'!T182,VLOOKUP($CZ185,'Audit Values'!$A$2:$AE$439,20,FALSE))</f>
        <v>0</v>
      </c>
      <c r="CO185" s="1">
        <f t="shared" si="228"/>
        <v>0</v>
      </c>
      <c r="CP185" s="183">
        <v>0</v>
      </c>
      <c r="CQ185" s="1">
        <f t="shared" si="229"/>
        <v>0</v>
      </c>
      <c r="CR185" s="2">
        <f>IF(ISNA(VLOOKUP($CZ185,'Audit Values'!$A$2:$AE$439,2,FALSE)),'Preliminary SO66'!V182,VLOOKUP($CZ185,'Audit Values'!$A$2:$AE$439,22,FALSE))</f>
        <v>0</v>
      </c>
      <c r="CS185" s="1">
        <f t="shared" si="230"/>
        <v>0</v>
      </c>
      <c r="CT185" s="2">
        <f>IF(ISNA(VLOOKUP($CZ185,'Audit Values'!$A$2:$AE$439,2,FALSE)),'Preliminary SO66'!W182,VLOOKUP($CZ185,'Audit Values'!$A$2:$AE$439,23,FALSE))</f>
        <v>0</v>
      </c>
      <c r="CU185" s="1">
        <f t="shared" si="243"/>
        <v>0</v>
      </c>
      <c r="CV185" s="1">
        <f t="shared" si="244"/>
        <v>0</v>
      </c>
      <c r="CW185" s="176">
        <v>0</v>
      </c>
      <c r="CX185" s="2">
        <f>IF(CW185&gt;0,Weightings!$M$11*AR185,0)</f>
        <v>0</v>
      </c>
      <c r="CY185" s="2">
        <f t="shared" si="238"/>
        <v>0</v>
      </c>
      <c r="CZ185" s="108" t="s">
        <v>477</v>
      </c>
    </row>
    <row r="186" spans="1:104">
      <c r="A186" s="82">
        <v>392</v>
      </c>
      <c r="B186" s="4" t="s">
        <v>88</v>
      </c>
      <c r="C186" s="4" t="s">
        <v>812</v>
      </c>
      <c r="D186" s="1">
        <v>298.3</v>
      </c>
      <c r="E186" s="1">
        <v>0</v>
      </c>
      <c r="F186" s="1">
        <f t="shared" si="240"/>
        <v>298.3</v>
      </c>
      <c r="G186" s="1">
        <v>297</v>
      </c>
      <c r="H186" s="1">
        <v>0</v>
      </c>
      <c r="I186" s="1">
        <f t="shared" si="201"/>
        <v>297</v>
      </c>
      <c r="J186" s="1">
        <f t="shared" si="202"/>
        <v>285.60000000000002</v>
      </c>
      <c r="K186" s="1">
        <f>IF(ISNA(VLOOKUP($CZ186,'Audit Values'!$A$2:$AE$439,2,FALSE)),'Preliminary SO66'!B183,VLOOKUP($CZ186,'Audit Values'!$A$2:$AE$439,31,FALSE))</f>
        <v>285.60000000000002</v>
      </c>
      <c r="L186" s="1">
        <f t="shared" si="203"/>
        <v>297</v>
      </c>
      <c r="M186" s="1">
        <f>IF(ISNA(VLOOKUP($CZ186,'Audit Values'!$A$2:$AE$439,2,FALSE)),'Preliminary SO66'!Z183,VLOOKUP($CZ186,'Audit Values'!$A$2:$AE$439,26,FALSE))</f>
        <v>0</v>
      </c>
      <c r="N186" s="1">
        <f t="shared" si="204"/>
        <v>297</v>
      </c>
      <c r="O186" s="1">
        <f>IF(ISNA(VLOOKUP($CZ186,'Audit Values'!$A$2:$AE$439,2,FALSE)),'Preliminary SO66'!C183,IF(VLOOKUP($CZ186,'Audit Values'!$A$2:$AE$439,28,FALSE)="",VLOOKUP($CZ186,'Audit Values'!$A$2:$AE$439,3,FALSE),VLOOKUP($CZ186,'Audit Values'!$A$2:$AE$439,28,FALSE)))</f>
        <v>0</v>
      </c>
      <c r="P186" s="109">
        <f t="shared" si="205"/>
        <v>285.60000000000002</v>
      </c>
      <c r="Q186" s="110">
        <f t="shared" si="206"/>
        <v>285.60000000000002</v>
      </c>
      <c r="R186" s="111">
        <f t="shared" si="207"/>
        <v>285.60000000000002</v>
      </c>
      <c r="S186" s="1">
        <f t="shared" si="208"/>
        <v>297</v>
      </c>
      <c r="T186" s="1">
        <f t="shared" si="239"/>
        <v>0</v>
      </c>
      <c r="U186" s="1">
        <f t="shared" si="209"/>
        <v>146.19999999999999</v>
      </c>
      <c r="V186" s="1">
        <f t="shared" si="199"/>
        <v>146.19999999999999</v>
      </c>
      <c r="W186" s="1">
        <f t="shared" si="200"/>
        <v>0</v>
      </c>
      <c r="X186" s="1">
        <f>IF(ISNA(VLOOKUP($CZ186,'Audit Values'!$A$2:$AE$439,2,FALSE)),'Preliminary SO66'!D183,VLOOKUP($CZ186,'Audit Values'!$A$2:$AE$439,4,FALSE))</f>
        <v>47.6</v>
      </c>
      <c r="Y186" s="1">
        <f>ROUND((X186/6)*Weightings!$M$6,1)</f>
        <v>4</v>
      </c>
      <c r="Z186" s="1">
        <f>IF(ISNA(VLOOKUP($CZ186,'Audit Values'!$A$2:$AE$439,2,FALSE)),'Preliminary SO66'!F183,VLOOKUP($CZ186,'Audit Values'!$A$2:$AE$439,6,FALSE))</f>
        <v>0</v>
      </c>
      <c r="AA186" s="1">
        <f>ROUND((Z186/6)*Weightings!$M$7,1)</f>
        <v>0</v>
      </c>
      <c r="AB186" s="2">
        <f>IF(ISNA(VLOOKUP($CZ186,'Audit Values'!$A$2:$AE$439,2,FALSE)),'Preliminary SO66'!H183,VLOOKUP($CZ186,'Audit Values'!$A$2:$AE$439,8,FALSE))</f>
        <v>151</v>
      </c>
      <c r="AC186" s="1">
        <f>ROUND(AB186*Weightings!$M$8,1)</f>
        <v>68.900000000000006</v>
      </c>
      <c r="AD186" s="1">
        <f t="shared" si="197"/>
        <v>15.9</v>
      </c>
      <c r="AE186" s="185">
        <v>13</v>
      </c>
      <c r="AF186" s="1">
        <f>AE186*Weightings!$M$9</f>
        <v>0.6</v>
      </c>
      <c r="AG186" s="1">
        <f>IF(ISNA(VLOOKUP($CZ186,'Audit Values'!$A$2:$AE$439,2,FALSE)),'Preliminary SO66'!L183,VLOOKUP($CZ186,'Audit Values'!$A$2:$AE$439,12,FALSE))</f>
        <v>0</v>
      </c>
      <c r="AH186" s="1">
        <f>ROUND(AG186*Weightings!$M$10,1)</f>
        <v>0</v>
      </c>
      <c r="AI186" s="1">
        <f>IF(ISNA(VLOOKUP($CZ186,'Audit Values'!$A$2:$AE$439,2,FALSE)),'Preliminary SO66'!O183,VLOOKUP($CZ186,'Audit Values'!$A$2:$AE$439,15,FALSE))</f>
        <v>87.5</v>
      </c>
      <c r="AJ186" s="1">
        <f t="shared" si="210"/>
        <v>34.200000000000003</v>
      </c>
      <c r="AK186" s="1">
        <f>CC186/Weightings!$M$5</f>
        <v>0</v>
      </c>
      <c r="AL186" s="1">
        <f>CD186/Weightings!$M$5</f>
        <v>0</v>
      </c>
      <c r="AM186" s="1">
        <f>CH186/Weightings!$M$5</f>
        <v>0</v>
      </c>
      <c r="AN186" s="1">
        <f t="shared" si="211"/>
        <v>0</v>
      </c>
      <c r="AO186" s="1">
        <f>IF(ISNA(VLOOKUP($CZ186,'Audit Values'!$A$2:$AE$439,2,FALSE)),'Preliminary SO66'!X183,VLOOKUP($CZ186,'Audit Values'!$A$2:$AE$439,24,FALSE))</f>
        <v>0</v>
      </c>
      <c r="AP186" s="188">
        <v>373189</v>
      </c>
      <c r="AQ186" s="113">
        <f>AP186/Weightings!$M$5</f>
        <v>97.2</v>
      </c>
      <c r="AR186" s="113">
        <f t="shared" si="212"/>
        <v>566.79999999999995</v>
      </c>
      <c r="AS186" s="1">
        <f t="shared" si="213"/>
        <v>664</v>
      </c>
      <c r="AT186" s="1">
        <f t="shared" si="214"/>
        <v>664</v>
      </c>
      <c r="AU186" s="2">
        <f t="shared" si="231"/>
        <v>141700</v>
      </c>
      <c r="AV186" s="82">
        <f>IF(ISNA(VLOOKUP($CZ186,'Audit Values'!$A$2:$AC$360,2,FALSE)),"",IF(AND(Weightings!H186&gt;0,VLOOKUP($CZ186,'Audit Values'!$A$2:$AC$360,29,FALSE)&lt;Weightings!H186),Weightings!H186,VLOOKUP($CZ186,'Audit Values'!$A$2:$AC$360,29,FALSE)))</f>
        <v>15</v>
      </c>
      <c r="AW186" s="82" t="str">
        <f>IF(ISNA(VLOOKUP($CZ186,'Audit Values'!$A$2:$AD$360,2,FALSE)),"",VLOOKUP($CZ186,'Audit Values'!$A$2:$AD$360,30,FALSE))</f>
        <v>A</v>
      </c>
      <c r="AX186" s="82" t="str">
        <f>IF(Weightings!G186="","",IF(Weightings!I186="Pending","PX","R"))</f>
        <v/>
      </c>
      <c r="AY186" s="114">
        <f>AR186*Weightings!$M$5+AU186</f>
        <v>2317078</v>
      </c>
      <c r="AZ186" s="2">
        <f>AT186*Weightings!$M$5+AU186</f>
        <v>2690132</v>
      </c>
      <c r="BA186" s="2">
        <f>IF(Weightings!G186&gt;0,Weightings!G186,'Preliminary SO66'!AB183)</f>
        <v>2717236</v>
      </c>
      <c r="BB186" s="2">
        <f t="shared" si="215"/>
        <v>2690132</v>
      </c>
      <c r="BC186" s="124"/>
      <c r="BD186" s="124">
        <f>Weightings!E186</f>
        <v>0</v>
      </c>
      <c r="BE186" s="124">
        <f>Weightings!F186</f>
        <v>0</v>
      </c>
      <c r="BF186" s="2">
        <f t="shared" si="216"/>
        <v>0</v>
      </c>
      <c r="BG186" s="2">
        <f t="shared" si="217"/>
        <v>2690132</v>
      </c>
      <c r="BH186" s="2">
        <f>MAX(ROUND(((AR186-AO186)*4433)+AP186,0),ROUND(((AR186-AO186)*4433)+Weightings!B186,0))</f>
        <v>2908512</v>
      </c>
      <c r="BI186" s="174">
        <v>0.3</v>
      </c>
      <c r="BJ186" s="2">
        <f t="shared" si="245"/>
        <v>872554</v>
      </c>
      <c r="BK186" s="173">
        <v>875347</v>
      </c>
      <c r="BL186" s="2">
        <f t="shared" si="194"/>
        <v>872554</v>
      </c>
      <c r="BM186" s="3">
        <f t="shared" si="232"/>
        <v>0.3</v>
      </c>
      <c r="BN186" s="1">
        <f t="shared" si="218"/>
        <v>0</v>
      </c>
      <c r="BO186" s="4" t="b">
        <f t="shared" si="219"/>
        <v>1</v>
      </c>
      <c r="BP186" s="5">
        <f t="shared" si="220"/>
        <v>1902.0350000000001</v>
      </c>
      <c r="BQ186" s="6">
        <f t="shared" si="195"/>
        <v>0.49213800000000002</v>
      </c>
      <c r="BR186" s="4">
        <f t="shared" si="221"/>
        <v>146.19999999999999</v>
      </c>
      <c r="BS186" s="4" t="b">
        <f t="shared" si="222"/>
        <v>0</v>
      </c>
      <c r="BT186" s="4">
        <f t="shared" si="223"/>
        <v>0</v>
      </c>
      <c r="BU186" s="6">
        <f t="shared" si="196"/>
        <v>0</v>
      </c>
      <c r="BV186" s="1">
        <f t="shared" si="224"/>
        <v>0</v>
      </c>
      <c r="BW186" s="1">
        <f t="shared" si="225"/>
        <v>0</v>
      </c>
      <c r="BX186" s="116">
        <v>511</v>
      </c>
      <c r="BY186" s="7">
        <f t="shared" si="233"/>
        <v>0.17</v>
      </c>
      <c r="BZ186" s="7">
        <f>IF(ROUND((Weightings!$P$5*BY186^Weightings!$P$6*Weightings!$P$8 ),2)&lt;Weightings!$P$7,Weightings!$P$7,ROUND((Weightings!$P$5*BY186^Weightings!$P$6*Weightings!$P$8 ),2))</f>
        <v>1501.44</v>
      </c>
      <c r="CA186" s="8">
        <f>ROUND(BZ186/Weightings!$M$5,4)</f>
        <v>0.39119999999999999</v>
      </c>
      <c r="CB186" s="1">
        <f t="shared" si="234"/>
        <v>34.200000000000003</v>
      </c>
      <c r="CC186" s="173">
        <v>0</v>
      </c>
      <c r="CD186" s="173">
        <v>0</v>
      </c>
      <c r="CE186" s="173">
        <v>0</v>
      </c>
      <c r="CF186" s="177">
        <v>0</v>
      </c>
      <c r="CG186" s="2">
        <f>AS186*Weightings!$M$5*CF186</f>
        <v>0</v>
      </c>
      <c r="CH186" s="2">
        <f t="shared" si="198"/>
        <v>0</v>
      </c>
      <c r="CI186" s="117">
        <f t="shared" si="226"/>
        <v>0.50800000000000001</v>
      </c>
      <c r="CJ186" s="4">
        <f t="shared" si="227"/>
        <v>0.6</v>
      </c>
      <c r="CK186" s="1">
        <f t="shared" si="235"/>
        <v>15.9</v>
      </c>
      <c r="CL186" s="1">
        <f t="shared" si="236"/>
        <v>0</v>
      </c>
      <c r="CM186" s="1">
        <f t="shared" si="237"/>
        <v>0</v>
      </c>
      <c r="CN186" s="1">
        <f>IF(ISNA(VLOOKUP($CZ186,'Audit Values'!$A$2:$AE$439,2,FALSE)),'Preliminary SO66'!T183,VLOOKUP($CZ186,'Audit Values'!$A$2:$AE$439,20,FALSE))</f>
        <v>0</v>
      </c>
      <c r="CO186" s="1">
        <f t="shared" si="228"/>
        <v>0</v>
      </c>
      <c r="CP186" s="183">
        <v>0</v>
      </c>
      <c r="CQ186" s="1">
        <f t="shared" si="229"/>
        <v>0</v>
      </c>
      <c r="CR186" s="2">
        <f>IF(ISNA(VLOOKUP($CZ186,'Audit Values'!$A$2:$AE$439,2,FALSE)),'Preliminary SO66'!V183,VLOOKUP($CZ186,'Audit Values'!$A$2:$AE$439,22,FALSE))</f>
        <v>0</v>
      </c>
      <c r="CS186" s="1">
        <f t="shared" si="230"/>
        <v>0</v>
      </c>
      <c r="CT186" s="2">
        <f>IF(ISNA(VLOOKUP($CZ186,'Audit Values'!$A$2:$AE$439,2,FALSE)),'Preliminary SO66'!W183,VLOOKUP($CZ186,'Audit Values'!$A$2:$AE$439,23,FALSE))</f>
        <v>0</v>
      </c>
      <c r="CU186" s="1">
        <f t="shared" si="243"/>
        <v>0</v>
      </c>
      <c r="CV186" s="1">
        <f t="shared" si="244"/>
        <v>0</v>
      </c>
      <c r="CW186" s="176">
        <v>141700</v>
      </c>
      <c r="CX186" s="2">
        <f>IF(CW186&gt;0,Weightings!$M$11*AR186,0)</f>
        <v>141700</v>
      </c>
      <c r="CY186" s="2">
        <f t="shared" si="238"/>
        <v>141700</v>
      </c>
      <c r="CZ186" s="108" t="s">
        <v>478</v>
      </c>
    </row>
    <row r="187" spans="1:104">
      <c r="A187" s="82">
        <v>393</v>
      </c>
      <c r="B187" s="4" t="s">
        <v>89</v>
      </c>
      <c r="C187" s="4" t="s">
        <v>813</v>
      </c>
      <c r="D187" s="1">
        <v>341</v>
      </c>
      <c r="E187" s="1">
        <v>0</v>
      </c>
      <c r="F187" s="1">
        <f t="shared" si="240"/>
        <v>341</v>
      </c>
      <c r="G187" s="1">
        <v>336.2</v>
      </c>
      <c r="H187" s="1">
        <v>4</v>
      </c>
      <c r="I187" s="1">
        <f t="shared" si="201"/>
        <v>340.2</v>
      </c>
      <c r="J187" s="1">
        <f t="shared" si="202"/>
        <v>324.2</v>
      </c>
      <c r="K187" s="1">
        <f>IF(ISNA(VLOOKUP($CZ187,'Audit Values'!$A$2:$AE$439,2,FALSE)),'Preliminary SO66'!B184,VLOOKUP($CZ187,'Audit Values'!$A$2:$AE$439,31,FALSE))</f>
        <v>324.2</v>
      </c>
      <c r="L187" s="1">
        <f t="shared" si="203"/>
        <v>340.2</v>
      </c>
      <c r="M187" s="1">
        <f>IF(ISNA(VLOOKUP($CZ187,'Audit Values'!$A$2:$AE$439,2,FALSE)),'Preliminary SO66'!Z184,VLOOKUP($CZ187,'Audit Values'!$A$2:$AE$439,26,FALSE))</f>
        <v>0</v>
      </c>
      <c r="N187" s="1">
        <f t="shared" si="204"/>
        <v>340.2</v>
      </c>
      <c r="O187" s="1">
        <f>IF(ISNA(VLOOKUP($CZ187,'Audit Values'!$A$2:$AE$439,2,FALSE)),'Preliminary SO66'!C184,IF(VLOOKUP($CZ187,'Audit Values'!$A$2:$AE$439,28,FALSE)="",VLOOKUP($CZ187,'Audit Values'!$A$2:$AE$439,3,FALSE),VLOOKUP($CZ187,'Audit Values'!$A$2:$AE$439,28,FALSE)))</f>
        <v>0</v>
      </c>
      <c r="P187" s="109">
        <f t="shared" si="205"/>
        <v>324.2</v>
      </c>
      <c r="Q187" s="110">
        <f t="shared" si="206"/>
        <v>324.2</v>
      </c>
      <c r="R187" s="111">
        <f t="shared" si="207"/>
        <v>324.2</v>
      </c>
      <c r="S187" s="1">
        <f t="shared" si="208"/>
        <v>340.2</v>
      </c>
      <c r="T187" s="1">
        <f t="shared" si="239"/>
        <v>0</v>
      </c>
      <c r="U187" s="1">
        <f t="shared" si="209"/>
        <v>160.1</v>
      </c>
      <c r="V187" s="1">
        <f t="shared" si="199"/>
        <v>160.1</v>
      </c>
      <c r="W187" s="1">
        <f t="shared" si="200"/>
        <v>0</v>
      </c>
      <c r="X187" s="1">
        <f>IF(ISNA(VLOOKUP($CZ187,'Audit Values'!$A$2:$AE$439,2,FALSE)),'Preliminary SO66'!D184,VLOOKUP($CZ187,'Audit Values'!$A$2:$AE$439,4,FALSE))</f>
        <v>80.8</v>
      </c>
      <c r="Y187" s="1">
        <f>ROUND((X187/6)*Weightings!$M$6,1)</f>
        <v>6.7</v>
      </c>
      <c r="Z187" s="1">
        <f>IF(ISNA(VLOOKUP($CZ187,'Audit Values'!$A$2:$AE$439,2,FALSE)),'Preliminary SO66'!F184,VLOOKUP($CZ187,'Audit Values'!$A$2:$AE$439,6,FALSE))</f>
        <v>0</v>
      </c>
      <c r="AA187" s="1">
        <f>ROUND((Z187/6)*Weightings!$M$7,1)</f>
        <v>0</v>
      </c>
      <c r="AB187" s="2">
        <f>IF(ISNA(VLOOKUP($CZ187,'Audit Values'!$A$2:$AE$439,2,FALSE)),'Preliminary SO66'!H184,VLOOKUP($CZ187,'Audit Values'!$A$2:$AE$439,8,FALSE))</f>
        <v>139</v>
      </c>
      <c r="AC187" s="1">
        <f>ROUND(AB187*Weightings!$M$8,1)</f>
        <v>63.4</v>
      </c>
      <c r="AD187" s="1">
        <f t="shared" si="197"/>
        <v>5.7</v>
      </c>
      <c r="AE187" s="185">
        <v>29</v>
      </c>
      <c r="AF187" s="1">
        <f>AE187*Weightings!$M$9</f>
        <v>1.3</v>
      </c>
      <c r="AG187" s="1">
        <f>IF(ISNA(VLOOKUP($CZ187,'Audit Values'!$A$2:$AE$439,2,FALSE)),'Preliminary SO66'!L184,VLOOKUP($CZ187,'Audit Values'!$A$2:$AE$439,12,FALSE))</f>
        <v>0</v>
      </c>
      <c r="AH187" s="1">
        <f>ROUND(AG187*Weightings!$M$10,1)</f>
        <v>0</v>
      </c>
      <c r="AI187" s="1">
        <f>IF(ISNA(VLOOKUP($CZ187,'Audit Values'!$A$2:$AE$439,2,FALSE)),'Preliminary SO66'!O184,VLOOKUP($CZ187,'Audit Values'!$A$2:$AE$439,15,FALSE))</f>
        <v>102</v>
      </c>
      <c r="AJ187" s="1">
        <f t="shared" si="210"/>
        <v>30.7</v>
      </c>
      <c r="AK187" s="1">
        <f>CC187/Weightings!$M$5</f>
        <v>0</v>
      </c>
      <c r="AL187" s="1">
        <f>CD187/Weightings!$M$5</f>
        <v>0</v>
      </c>
      <c r="AM187" s="1">
        <f>CH187/Weightings!$M$5</f>
        <v>0</v>
      </c>
      <c r="AN187" s="1">
        <f t="shared" si="211"/>
        <v>0</v>
      </c>
      <c r="AO187" s="1">
        <f>IF(ISNA(VLOOKUP($CZ187,'Audit Values'!$A$2:$AE$439,2,FALSE)),'Preliminary SO66'!X184,VLOOKUP($CZ187,'Audit Values'!$A$2:$AE$439,24,FALSE))</f>
        <v>0</v>
      </c>
      <c r="AP187" s="188">
        <v>341075</v>
      </c>
      <c r="AQ187" s="113">
        <f>AP187/Weightings!$M$5</f>
        <v>88.9</v>
      </c>
      <c r="AR187" s="113">
        <f t="shared" si="212"/>
        <v>608.1</v>
      </c>
      <c r="AS187" s="1">
        <f t="shared" si="213"/>
        <v>697</v>
      </c>
      <c r="AT187" s="1">
        <f t="shared" si="214"/>
        <v>697</v>
      </c>
      <c r="AU187" s="2">
        <f t="shared" si="231"/>
        <v>0</v>
      </c>
      <c r="AV187" s="142">
        <f>IF(ISNA(VLOOKUP($CZ187,'Audit Values'!$A$2:$AC$360,2,FALSE)),"",IF(AND(Weightings!H187&gt;0,VLOOKUP($CZ187,'Audit Values'!$A$2:$AC$360,29,FALSE)&lt;Weightings!H187),Weightings!H187,VLOOKUP($CZ187,'Audit Values'!$A$2:$AC$360,29,FALSE)))</f>
        <v>16</v>
      </c>
      <c r="AW187" s="142" t="str">
        <f>IF(ISNA(VLOOKUP($CZ187,'Audit Values'!$A$2:$AD$360,2,FALSE)),"",VLOOKUP($CZ187,'Audit Values'!$A$2:$AD$360,30,FALSE))</f>
        <v>A</v>
      </c>
      <c r="AX187" s="159" t="str">
        <f>IF(Weightings!G187="","",IF(Weightings!I187="Pending","PX","R"))</f>
        <v>R</v>
      </c>
      <c r="AY187" s="114">
        <f>AR187*Weightings!$M$5+AU187</f>
        <v>2333888</v>
      </c>
      <c r="AZ187" s="2">
        <f>AT187*Weightings!$M$5+AU187</f>
        <v>2675086</v>
      </c>
      <c r="BA187" s="2">
        <f>IF(Weightings!G187&gt;0,Weightings!G187,'Preliminary SO66'!AB184)</f>
        <v>2724596</v>
      </c>
      <c r="BB187" s="2">
        <f t="shared" si="215"/>
        <v>2675086</v>
      </c>
      <c r="BC187" s="124"/>
      <c r="BD187" s="124">
        <f>Weightings!E187</f>
        <v>0</v>
      </c>
      <c r="BE187" s="124">
        <f>Weightings!F187</f>
        <v>0</v>
      </c>
      <c r="BF187" s="2">
        <f t="shared" si="216"/>
        <v>0</v>
      </c>
      <c r="BG187" s="2">
        <f t="shared" si="217"/>
        <v>2675086</v>
      </c>
      <c r="BH187" s="2">
        <f>MAX(ROUND(((AR187-AO187)*4433)+AP187,0),ROUND(((AR187-AO187)*4433)+Weightings!B187,0))</f>
        <v>3059655</v>
      </c>
      <c r="BI187" s="174">
        <v>0.3</v>
      </c>
      <c r="BJ187" s="2">
        <f t="shared" si="245"/>
        <v>917897</v>
      </c>
      <c r="BK187" s="173">
        <v>807354</v>
      </c>
      <c r="BL187" s="2">
        <f t="shared" si="194"/>
        <v>807354</v>
      </c>
      <c r="BM187" s="3">
        <f t="shared" si="232"/>
        <v>0.26390000000000002</v>
      </c>
      <c r="BN187" s="1">
        <f t="shared" si="218"/>
        <v>0</v>
      </c>
      <c r="BO187" s="4" t="b">
        <f t="shared" si="219"/>
        <v>0</v>
      </c>
      <c r="BP187" s="5">
        <f t="shared" si="220"/>
        <v>0</v>
      </c>
      <c r="BQ187" s="6">
        <f t="shared" si="195"/>
        <v>0</v>
      </c>
      <c r="BR187" s="4">
        <f t="shared" si="221"/>
        <v>0</v>
      </c>
      <c r="BS187" s="4" t="b">
        <f t="shared" si="222"/>
        <v>1</v>
      </c>
      <c r="BT187" s="4">
        <f t="shared" si="223"/>
        <v>49.747500000000002</v>
      </c>
      <c r="BU187" s="6">
        <f t="shared" si="196"/>
        <v>0.470528</v>
      </c>
      <c r="BV187" s="1">
        <f t="shared" si="224"/>
        <v>160.1</v>
      </c>
      <c r="BW187" s="1">
        <f t="shared" si="225"/>
        <v>0</v>
      </c>
      <c r="BX187" s="116">
        <v>187.5</v>
      </c>
      <c r="BY187" s="7">
        <f t="shared" si="233"/>
        <v>0.54</v>
      </c>
      <c r="BZ187" s="7">
        <f>IF(ROUND((Weightings!$P$5*BY187^Weightings!$P$6*Weightings!$P$8 ),2)&lt;Weightings!$P$7,Weightings!$P$7,ROUND((Weightings!$P$5*BY187^Weightings!$P$6*Weightings!$P$8 ),2))</f>
        <v>1153.49</v>
      </c>
      <c r="CA187" s="8">
        <f>ROUND(BZ187/Weightings!$M$5,4)</f>
        <v>0.30049999999999999</v>
      </c>
      <c r="CB187" s="1">
        <f t="shared" si="234"/>
        <v>30.7</v>
      </c>
      <c r="CC187" s="173">
        <v>0</v>
      </c>
      <c r="CD187" s="173">
        <v>0</v>
      </c>
      <c r="CE187" s="173">
        <v>0</v>
      </c>
      <c r="CF187" s="177">
        <v>0</v>
      </c>
      <c r="CG187" s="2">
        <f>AS187*Weightings!$M$5*CF187</f>
        <v>0</v>
      </c>
      <c r="CH187" s="2">
        <f t="shared" si="198"/>
        <v>0</v>
      </c>
      <c r="CI187" s="117">
        <f t="shared" si="226"/>
        <v>0.40899999999999997</v>
      </c>
      <c r="CJ187" s="4">
        <f t="shared" si="227"/>
        <v>1.8</v>
      </c>
      <c r="CK187" s="1">
        <f t="shared" si="235"/>
        <v>0</v>
      </c>
      <c r="CL187" s="1">
        <f t="shared" si="236"/>
        <v>0</v>
      </c>
      <c r="CM187" s="1">
        <f t="shared" si="237"/>
        <v>5.7</v>
      </c>
      <c r="CN187" s="1">
        <f>IF(ISNA(VLOOKUP($CZ187,'Audit Values'!$A$2:$AE$439,2,FALSE)),'Preliminary SO66'!T184,VLOOKUP($CZ187,'Audit Values'!$A$2:$AE$439,20,FALSE))</f>
        <v>0</v>
      </c>
      <c r="CO187" s="1">
        <f t="shared" si="228"/>
        <v>0</v>
      </c>
      <c r="CP187" s="183">
        <v>0</v>
      </c>
      <c r="CQ187" s="1">
        <f t="shared" si="229"/>
        <v>0</v>
      </c>
      <c r="CR187" s="2">
        <f>IF(ISNA(VLOOKUP($CZ187,'Audit Values'!$A$2:$AE$439,2,FALSE)),'Preliminary SO66'!V184,VLOOKUP($CZ187,'Audit Values'!$A$2:$AE$439,22,FALSE))</f>
        <v>0</v>
      </c>
      <c r="CS187" s="1">
        <f t="shared" si="230"/>
        <v>0</v>
      </c>
      <c r="CT187" s="2">
        <f>IF(ISNA(VLOOKUP($CZ187,'Audit Values'!$A$2:$AE$439,2,FALSE)),'Preliminary SO66'!W184,VLOOKUP($CZ187,'Audit Values'!$A$2:$AE$439,23,FALSE))</f>
        <v>0</v>
      </c>
      <c r="CU187" s="1">
        <f t="shared" si="243"/>
        <v>0</v>
      </c>
      <c r="CV187" s="1">
        <f t="shared" si="244"/>
        <v>0</v>
      </c>
      <c r="CW187" s="176">
        <v>0</v>
      </c>
      <c r="CX187" s="2">
        <f>IF(CW187&gt;0,Weightings!$M$11*AR187,0)</f>
        <v>0</v>
      </c>
      <c r="CY187" s="2">
        <f t="shared" si="238"/>
        <v>0</v>
      </c>
      <c r="CZ187" s="108" t="s">
        <v>479</v>
      </c>
    </row>
    <row r="188" spans="1:104">
      <c r="A188" s="82">
        <v>394</v>
      </c>
      <c r="B188" s="4" t="s">
        <v>12</v>
      </c>
      <c r="C188" s="4" t="s">
        <v>814</v>
      </c>
      <c r="D188" s="1">
        <v>1666.7</v>
      </c>
      <c r="E188" s="1">
        <v>0</v>
      </c>
      <c r="F188" s="1">
        <f t="shared" si="240"/>
        <v>1666.7</v>
      </c>
      <c r="G188" s="1">
        <v>1624.1</v>
      </c>
      <c r="H188" s="1">
        <v>0</v>
      </c>
      <c r="I188" s="1">
        <f t="shared" si="201"/>
        <v>1624.1</v>
      </c>
      <c r="J188" s="1">
        <f t="shared" si="202"/>
        <v>1600.4</v>
      </c>
      <c r="K188" s="1">
        <f>IF(ISNA(VLOOKUP($CZ188,'Audit Values'!$A$2:$AE$439,2,FALSE)),'Preliminary SO66'!B185,VLOOKUP($CZ188,'Audit Values'!$A$2:$AE$439,31,FALSE))</f>
        <v>1583.7</v>
      </c>
      <c r="L188" s="1">
        <f t="shared" si="203"/>
        <v>1624.8</v>
      </c>
      <c r="M188" s="1">
        <f>IF(ISNA(VLOOKUP($CZ188,'Audit Values'!$A$2:$AE$439,2,FALSE)),'Preliminary SO66'!Z185,VLOOKUP($CZ188,'Audit Values'!$A$2:$AE$439,26,FALSE))</f>
        <v>0</v>
      </c>
      <c r="N188" s="1">
        <f t="shared" si="204"/>
        <v>1624.8</v>
      </c>
      <c r="O188" s="1">
        <f>IF(ISNA(VLOOKUP($CZ188,'Audit Values'!$A$2:$AE$439,2,FALSE)),'Preliminary SO66'!C185,IF(VLOOKUP($CZ188,'Audit Values'!$A$2:$AE$439,28,FALSE)="",VLOOKUP($CZ188,'Audit Values'!$A$2:$AE$439,3,FALSE),VLOOKUP($CZ188,'Audit Values'!$A$2:$AE$439,28,FALSE)))</f>
        <v>12</v>
      </c>
      <c r="P188" s="109">
        <f t="shared" si="205"/>
        <v>1595.7</v>
      </c>
      <c r="Q188" s="110">
        <f t="shared" si="206"/>
        <v>1612.4</v>
      </c>
      <c r="R188" s="111">
        <f t="shared" si="207"/>
        <v>1612.4</v>
      </c>
      <c r="S188" s="1">
        <f t="shared" si="208"/>
        <v>1636.8</v>
      </c>
      <c r="T188" s="1">
        <f t="shared" si="239"/>
        <v>16.7</v>
      </c>
      <c r="U188" s="1">
        <f t="shared" si="209"/>
        <v>57.4</v>
      </c>
      <c r="V188" s="1">
        <f t="shared" si="199"/>
        <v>0</v>
      </c>
      <c r="W188" s="1">
        <f t="shared" si="200"/>
        <v>57.4</v>
      </c>
      <c r="X188" s="1">
        <f>IF(ISNA(VLOOKUP($CZ188,'Audit Values'!$A$2:$AE$439,2,FALSE)),'Preliminary SO66'!D185,VLOOKUP($CZ188,'Audit Values'!$A$2:$AE$439,4,FALSE))</f>
        <v>369.1</v>
      </c>
      <c r="Y188" s="1">
        <f>ROUND((X188/6)*Weightings!$M$6,1)</f>
        <v>30.8</v>
      </c>
      <c r="Z188" s="1">
        <f>IF(ISNA(VLOOKUP($CZ188,'Audit Values'!$A$2:$AE$439,2,FALSE)),'Preliminary SO66'!F185,VLOOKUP($CZ188,'Audit Values'!$A$2:$AE$439,6,FALSE))</f>
        <v>31.8</v>
      </c>
      <c r="AA188" s="1">
        <f>ROUND((Z188/6)*Weightings!$M$7,1)</f>
        <v>2.1</v>
      </c>
      <c r="AB188" s="2">
        <f>IF(ISNA(VLOOKUP($CZ188,'Audit Values'!$A$2:$AE$439,2,FALSE)),'Preliminary SO66'!H185,VLOOKUP($CZ188,'Audit Values'!$A$2:$AE$439,8,FALSE))</f>
        <v>380</v>
      </c>
      <c r="AC188" s="1">
        <f>ROUND(AB188*Weightings!$M$8,1)</f>
        <v>173.3</v>
      </c>
      <c r="AD188" s="1">
        <f t="shared" si="197"/>
        <v>0</v>
      </c>
      <c r="AE188" s="185">
        <v>151</v>
      </c>
      <c r="AF188" s="1">
        <f>AE188*Weightings!$M$9</f>
        <v>7</v>
      </c>
      <c r="AG188" s="1">
        <f>IF(ISNA(VLOOKUP($CZ188,'Audit Values'!$A$2:$AE$439,2,FALSE)),'Preliminary SO66'!L185,VLOOKUP($CZ188,'Audit Values'!$A$2:$AE$439,12,FALSE))</f>
        <v>0</v>
      </c>
      <c r="AH188" s="1">
        <f>ROUND(AG188*Weightings!$M$10,1)</f>
        <v>0</v>
      </c>
      <c r="AI188" s="1">
        <f>IF(ISNA(VLOOKUP($CZ188,'Audit Values'!$A$2:$AE$439,2,FALSE)),'Preliminary SO66'!O185,VLOOKUP($CZ188,'Audit Values'!$A$2:$AE$439,15,FALSE))</f>
        <v>596</v>
      </c>
      <c r="AJ188" s="1">
        <f t="shared" si="210"/>
        <v>90.8</v>
      </c>
      <c r="AK188" s="1">
        <f>CC188/Weightings!$M$5</f>
        <v>0</v>
      </c>
      <c r="AL188" s="1">
        <f>CD188/Weightings!$M$5</f>
        <v>0</v>
      </c>
      <c r="AM188" s="1">
        <f>CH188/Weightings!$M$5</f>
        <v>0</v>
      </c>
      <c r="AN188" s="1">
        <f t="shared" si="211"/>
        <v>17.5</v>
      </c>
      <c r="AO188" s="1">
        <f>IF(ISNA(VLOOKUP($CZ188,'Audit Values'!$A$2:$AE$439,2,FALSE)),'Preliminary SO66'!X185,VLOOKUP($CZ188,'Audit Values'!$A$2:$AE$439,24,FALSE))</f>
        <v>0</v>
      </c>
      <c r="AP188" s="188">
        <v>1458360</v>
      </c>
      <c r="AQ188" s="113">
        <f>AP188/Weightings!$M$5</f>
        <v>380</v>
      </c>
      <c r="AR188" s="113">
        <f t="shared" si="212"/>
        <v>2015.7</v>
      </c>
      <c r="AS188" s="1">
        <f t="shared" si="213"/>
        <v>2395.6999999999998</v>
      </c>
      <c r="AT188" s="1">
        <f t="shared" si="214"/>
        <v>2395.6999999999998</v>
      </c>
      <c r="AU188" s="2">
        <f t="shared" si="231"/>
        <v>0</v>
      </c>
      <c r="AV188" s="82">
        <f>IF(ISNA(VLOOKUP($CZ188,'Audit Values'!$A$2:$AC$360,2,FALSE)),"",IF(AND(Weightings!H188&gt;0,VLOOKUP($CZ188,'Audit Values'!$A$2:$AC$360,29,FALSE)&lt;Weightings!H188),Weightings!H188,VLOOKUP($CZ188,'Audit Values'!$A$2:$AC$360,29,FALSE)))</f>
        <v>8</v>
      </c>
      <c r="AW188" s="82" t="str">
        <f>IF(ISNA(VLOOKUP($CZ188,'Audit Values'!$A$2:$AD$360,2,FALSE)),"",VLOOKUP($CZ188,'Audit Values'!$A$2:$AD$360,30,FALSE))</f>
        <v>A</v>
      </c>
      <c r="AX188" s="82" t="str">
        <f>IF(Weightings!G188="","",IF(Weightings!I188="Pending","PX","R"))</f>
        <v>R</v>
      </c>
      <c r="AY188" s="114">
        <f>AR188*Weightings!$M$5+AU188</f>
        <v>7736257</v>
      </c>
      <c r="AZ188" s="2">
        <f>AT188*Weightings!$M$5+AU188</f>
        <v>9194697</v>
      </c>
      <c r="BA188" s="2">
        <f>IF(Weightings!G188&gt;0,Weightings!G188,'Preliminary SO66'!AB185)</f>
        <v>9240369</v>
      </c>
      <c r="BB188" s="2">
        <f t="shared" si="215"/>
        <v>9194697</v>
      </c>
      <c r="BC188" s="124"/>
      <c r="BD188" s="124">
        <f>Weightings!E188</f>
        <v>0</v>
      </c>
      <c r="BE188" s="124">
        <f>Weightings!F188</f>
        <v>0</v>
      </c>
      <c r="BF188" s="2">
        <f t="shared" si="216"/>
        <v>0</v>
      </c>
      <c r="BG188" s="2">
        <f t="shared" si="217"/>
        <v>9194697</v>
      </c>
      <c r="BH188" s="2">
        <f>MAX(ROUND(((AR188-AO188)*4433)+AP188,0),ROUND(((AR188-AO188)*4433)+Weightings!B188,0))</f>
        <v>10393958</v>
      </c>
      <c r="BI188" s="174">
        <v>0.3</v>
      </c>
      <c r="BJ188" s="2">
        <f t="shared" si="245"/>
        <v>3118187</v>
      </c>
      <c r="BK188" s="173">
        <v>3108717</v>
      </c>
      <c r="BL188" s="2">
        <f t="shared" si="194"/>
        <v>3108717</v>
      </c>
      <c r="BM188" s="3">
        <f t="shared" si="232"/>
        <v>0.29909999999999998</v>
      </c>
      <c r="BN188" s="1">
        <f t="shared" si="218"/>
        <v>0</v>
      </c>
      <c r="BO188" s="4" t="b">
        <f t="shared" si="219"/>
        <v>0</v>
      </c>
      <c r="BP188" s="5">
        <f t="shared" si="220"/>
        <v>0</v>
      </c>
      <c r="BQ188" s="6">
        <f t="shared" si="195"/>
        <v>0</v>
      </c>
      <c r="BR188" s="4">
        <f t="shared" si="221"/>
        <v>0</v>
      </c>
      <c r="BS188" s="4" t="b">
        <f t="shared" si="222"/>
        <v>0</v>
      </c>
      <c r="BT188" s="4">
        <f t="shared" si="223"/>
        <v>0</v>
      </c>
      <c r="BU188" s="6">
        <f t="shared" si="196"/>
        <v>0</v>
      </c>
      <c r="BV188" s="1">
        <f t="shared" si="224"/>
        <v>0</v>
      </c>
      <c r="BW188" s="1">
        <f t="shared" si="225"/>
        <v>57.4</v>
      </c>
      <c r="BX188" s="116">
        <v>55</v>
      </c>
      <c r="BY188" s="7">
        <f t="shared" si="233"/>
        <v>10.84</v>
      </c>
      <c r="BZ188" s="7">
        <f>IF(ROUND((Weightings!$P$5*BY188^Weightings!$P$6*Weightings!$P$8 ),2)&lt;Weightings!$P$7,Weightings!$P$7,ROUND((Weightings!$P$5*BY188^Weightings!$P$6*Weightings!$P$8 ),2))</f>
        <v>585</v>
      </c>
      <c r="CA188" s="8">
        <f>ROUND(BZ188/Weightings!$M$5,4)</f>
        <v>0.15240000000000001</v>
      </c>
      <c r="CB188" s="1">
        <f t="shared" si="234"/>
        <v>90.8</v>
      </c>
      <c r="CC188" s="173">
        <v>0</v>
      </c>
      <c r="CD188" s="173">
        <v>0</v>
      </c>
      <c r="CE188" s="173">
        <v>0</v>
      </c>
      <c r="CF188" s="177">
        <v>0</v>
      </c>
      <c r="CG188" s="2">
        <f>AS188*Weightings!$M$5*CF188</f>
        <v>0</v>
      </c>
      <c r="CH188" s="2">
        <f t="shared" si="198"/>
        <v>0</v>
      </c>
      <c r="CI188" s="117">
        <f t="shared" si="226"/>
        <v>0.23200000000000001</v>
      </c>
      <c r="CJ188" s="4">
        <f t="shared" si="227"/>
        <v>29.8</v>
      </c>
      <c r="CK188" s="1">
        <f t="shared" si="235"/>
        <v>0</v>
      </c>
      <c r="CL188" s="1">
        <f t="shared" si="236"/>
        <v>0</v>
      </c>
      <c r="CM188" s="1">
        <f t="shared" si="237"/>
        <v>0</v>
      </c>
      <c r="CN188" s="1">
        <f>IF(ISNA(VLOOKUP($CZ188,'Audit Values'!$A$2:$AE$439,2,FALSE)),'Preliminary SO66'!T185,VLOOKUP($CZ188,'Audit Values'!$A$2:$AE$439,20,FALSE))</f>
        <v>16.7</v>
      </c>
      <c r="CO188" s="1">
        <f t="shared" si="228"/>
        <v>17.5</v>
      </c>
      <c r="CP188" s="183">
        <v>0</v>
      </c>
      <c r="CQ188" s="1">
        <f t="shared" si="229"/>
        <v>0</v>
      </c>
      <c r="CR188" s="2">
        <f>IF(ISNA(VLOOKUP($CZ188,'Audit Values'!$A$2:$AE$439,2,FALSE)),'Preliminary SO66'!V185,VLOOKUP($CZ188,'Audit Values'!$A$2:$AE$439,22,FALSE))</f>
        <v>0</v>
      </c>
      <c r="CS188" s="1">
        <f t="shared" si="230"/>
        <v>0</v>
      </c>
      <c r="CT188" s="2">
        <f>IF(ISNA(VLOOKUP($CZ188,'Audit Values'!$A$2:$AE$439,2,FALSE)),'Preliminary SO66'!W185,VLOOKUP($CZ188,'Audit Values'!$A$2:$AE$439,23,FALSE))</f>
        <v>0</v>
      </c>
      <c r="CU188" s="1">
        <f t="shared" si="243"/>
        <v>0</v>
      </c>
      <c r="CV188" s="1">
        <f t="shared" si="244"/>
        <v>17.5</v>
      </c>
      <c r="CW188" s="176">
        <v>0</v>
      </c>
      <c r="CX188" s="2">
        <f>IF(CW188&gt;0,Weightings!$M$11*AR188,0)</f>
        <v>0</v>
      </c>
      <c r="CY188" s="2">
        <f t="shared" si="238"/>
        <v>0</v>
      </c>
      <c r="CZ188" s="108" t="s">
        <v>480</v>
      </c>
    </row>
    <row r="189" spans="1:104">
      <c r="A189" s="82">
        <v>395</v>
      </c>
      <c r="B189" s="4" t="s">
        <v>90</v>
      </c>
      <c r="C189" s="4" t="s">
        <v>815</v>
      </c>
      <c r="D189" s="1">
        <v>288.5</v>
      </c>
      <c r="E189" s="1">
        <v>0</v>
      </c>
      <c r="F189" s="1">
        <f t="shared" si="240"/>
        <v>288.5</v>
      </c>
      <c r="G189" s="1">
        <v>277.5</v>
      </c>
      <c r="H189" s="1">
        <v>0</v>
      </c>
      <c r="I189" s="1">
        <f t="shared" si="201"/>
        <v>277.5</v>
      </c>
      <c r="J189" s="1">
        <f t="shared" si="202"/>
        <v>272</v>
      </c>
      <c r="K189" s="1">
        <f>IF(ISNA(VLOOKUP($CZ189,'Audit Values'!$A$2:$AE$439,2,FALSE)),'Preliminary SO66'!B186,VLOOKUP($CZ189,'Audit Values'!$A$2:$AE$439,31,FALSE))</f>
        <v>272</v>
      </c>
      <c r="L189" s="1">
        <f t="shared" si="203"/>
        <v>279.3</v>
      </c>
      <c r="M189" s="1">
        <f>IF(ISNA(VLOOKUP($CZ189,'Audit Values'!$A$2:$AE$439,2,FALSE)),'Preliminary SO66'!Z186,VLOOKUP($CZ189,'Audit Values'!$A$2:$AE$439,26,FALSE))</f>
        <v>0</v>
      </c>
      <c r="N189" s="1">
        <f t="shared" si="204"/>
        <v>279.3</v>
      </c>
      <c r="O189" s="1">
        <f>IF(ISNA(VLOOKUP($CZ189,'Audit Values'!$A$2:$AE$439,2,FALSE)),'Preliminary SO66'!C186,IF(VLOOKUP($CZ189,'Audit Values'!$A$2:$AE$439,28,FALSE)="",VLOOKUP($CZ189,'Audit Values'!$A$2:$AE$439,3,FALSE),VLOOKUP($CZ189,'Audit Values'!$A$2:$AE$439,28,FALSE)))</f>
        <v>0</v>
      </c>
      <c r="P189" s="109">
        <f t="shared" si="205"/>
        <v>272</v>
      </c>
      <c r="Q189" s="110">
        <f t="shared" si="206"/>
        <v>272</v>
      </c>
      <c r="R189" s="111">
        <f t="shared" si="207"/>
        <v>272</v>
      </c>
      <c r="S189" s="1">
        <f t="shared" si="208"/>
        <v>279.3</v>
      </c>
      <c r="T189" s="1">
        <f t="shared" si="239"/>
        <v>0</v>
      </c>
      <c r="U189" s="1">
        <f t="shared" si="209"/>
        <v>150.6</v>
      </c>
      <c r="V189" s="1">
        <f t="shared" si="199"/>
        <v>150.6</v>
      </c>
      <c r="W189" s="1">
        <f t="shared" si="200"/>
        <v>0</v>
      </c>
      <c r="X189" s="1">
        <f>IF(ISNA(VLOOKUP($CZ189,'Audit Values'!$A$2:$AE$439,2,FALSE)),'Preliminary SO66'!D186,VLOOKUP($CZ189,'Audit Values'!$A$2:$AE$439,4,FALSE))</f>
        <v>79.400000000000006</v>
      </c>
      <c r="Y189" s="1">
        <f>ROUND((X189/6)*Weightings!$M$6,1)</f>
        <v>6.6</v>
      </c>
      <c r="Z189" s="1">
        <f>IF(ISNA(VLOOKUP($CZ189,'Audit Values'!$A$2:$AE$439,2,FALSE)),'Preliminary SO66'!F186,VLOOKUP($CZ189,'Audit Values'!$A$2:$AE$439,6,FALSE))</f>
        <v>0</v>
      </c>
      <c r="AA189" s="1">
        <f>ROUND((Z189/6)*Weightings!$M$7,1)</f>
        <v>0</v>
      </c>
      <c r="AB189" s="2">
        <f>IF(ISNA(VLOOKUP($CZ189,'Audit Values'!$A$2:$AE$439,2,FALSE)),'Preliminary SO66'!H186,VLOOKUP($CZ189,'Audit Values'!$A$2:$AE$439,8,FALSE))</f>
        <v>107</v>
      </c>
      <c r="AC189" s="1">
        <f>ROUND(AB189*Weightings!$M$8,1)</f>
        <v>48.8</v>
      </c>
      <c r="AD189" s="1">
        <f t="shared" si="197"/>
        <v>2.5</v>
      </c>
      <c r="AE189" s="185">
        <v>15</v>
      </c>
      <c r="AF189" s="1">
        <f>AE189*Weightings!$M$9</f>
        <v>0.7</v>
      </c>
      <c r="AG189" s="1">
        <f>IF(ISNA(VLOOKUP($CZ189,'Audit Values'!$A$2:$AE$439,2,FALSE)),'Preliminary SO66'!L186,VLOOKUP($CZ189,'Audit Values'!$A$2:$AE$439,12,FALSE))</f>
        <v>0</v>
      </c>
      <c r="AH189" s="1">
        <f>ROUND(AG189*Weightings!$M$10,1)</f>
        <v>0</v>
      </c>
      <c r="AI189" s="1">
        <f>IF(ISNA(VLOOKUP($CZ189,'Audit Values'!$A$2:$AE$439,2,FALSE)),'Preliminary SO66'!O186,VLOOKUP($CZ189,'Audit Values'!$A$2:$AE$439,15,FALSE))</f>
        <v>75</v>
      </c>
      <c r="AJ189" s="1">
        <f t="shared" si="210"/>
        <v>30.2</v>
      </c>
      <c r="AK189" s="1">
        <f>CC189/Weightings!$M$5</f>
        <v>0</v>
      </c>
      <c r="AL189" s="1">
        <f>CD189/Weightings!$M$5</f>
        <v>0</v>
      </c>
      <c r="AM189" s="1">
        <f>CH189/Weightings!$M$5</f>
        <v>0</v>
      </c>
      <c r="AN189" s="1">
        <f t="shared" si="211"/>
        <v>0</v>
      </c>
      <c r="AO189" s="1">
        <f>IF(ISNA(VLOOKUP($CZ189,'Audit Values'!$A$2:$AE$439,2,FALSE)),'Preliminary SO66'!X186,VLOOKUP($CZ189,'Audit Values'!$A$2:$AE$439,24,FALSE))</f>
        <v>1</v>
      </c>
      <c r="AP189" s="188">
        <v>256409</v>
      </c>
      <c r="AQ189" s="113">
        <f>AP189/Weightings!$M$5</f>
        <v>66.8</v>
      </c>
      <c r="AR189" s="113">
        <f t="shared" si="212"/>
        <v>519.70000000000005</v>
      </c>
      <c r="AS189" s="1">
        <f t="shared" si="213"/>
        <v>586.5</v>
      </c>
      <c r="AT189" s="1">
        <f t="shared" si="214"/>
        <v>586.5</v>
      </c>
      <c r="AU189" s="2">
        <f t="shared" si="231"/>
        <v>0</v>
      </c>
      <c r="AV189" s="82">
        <f>IF(ISNA(VLOOKUP($CZ189,'Audit Values'!$A$2:$AC$360,2,FALSE)),"",IF(AND(Weightings!H189&gt;0,VLOOKUP($CZ189,'Audit Values'!$A$2:$AC$360,29,FALSE)&lt;Weightings!H189),Weightings!H189,VLOOKUP($CZ189,'Audit Values'!$A$2:$AC$360,29,FALSE)))</f>
        <v>14</v>
      </c>
      <c r="AW189" s="82" t="str">
        <f>IF(ISNA(VLOOKUP($CZ189,'Audit Values'!$A$2:$AD$360,2,FALSE)),"",VLOOKUP($CZ189,'Audit Values'!$A$2:$AD$360,30,FALSE))</f>
        <v>A</v>
      </c>
      <c r="AX189" s="82" t="str">
        <f>IF(Weightings!G189="","",IF(Weightings!I189="Pending","PX","R"))</f>
        <v/>
      </c>
      <c r="AY189" s="114">
        <f>AR189*Weightings!$M$5+AU189</f>
        <v>1994609</v>
      </c>
      <c r="AZ189" s="2">
        <f>AT189*Weightings!$M$5+AU189</f>
        <v>2250987</v>
      </c>
      <c r="BA189" s="2">
        <f>IF(Weightings!G189&gt;0,Weightings!G189,'Preliminary SO66'!AB186)</f>
        <v>2289751</v>
      </c>
      <c r="BB189" s="2">
        <f t="shared" si="215"/>
        <v>2250987</v>
      </c>
      <c r="BC189" s="124"/>
      <c r="BD189" s="124">
        <f>Weightings!E189</f>
        <v>0</v>
      </c>
      <c r="BE189" s="124">
        <f>Weightings!F189</f>
        <v>0</v>
      </c>
      <c r="BF189" s="2">
        <f t="shared" si="216"/>
        <v>0</v>
      </c>
      <c r="BG189" s="2">
        <f t="shared" si="217"/>
        <v>2250987</v>
      </c>
      <c r="BH189" s="2">
        <f>MAX(ROUND(((AR189-AO189)*4433)+AP189,0),ROUND(((AR189-AO189)*4433)+Weightings!B189,0))</f>
        <v>2665317</v>
      </c>
      <c r="BI189" s="174">
        <v>0.3</v>
      </c>
      <c r="BJ189" s="2">
        <f t="shared" si="245"/>
        <v>799595</v>
      </c>
      <c r="BK189" s="173">
        <v>795500</v>
      </c>
      <c r="BL189" s="2">
        <f t="shared" si="194"/>
        <v>795500</v>
      </c>
      <c r="BM189" s="3">
        <f t="shared" si="232"/>
        <v>0.29849999999999999</v>
      </c>
      <c r="BN189" s="1">
        <f t="shared" si="218"/>
        <v>0</v>
      </c>
      <c r="BO189" s="4" t="b">
        <f t="shared" si="219"/>
        <v>1</v>
      </c>
      <c r="BP189" s="5">
        <f t="shared" si="220"/>
        <v>1731.1420000000001</v>
      </c>
      <c r="BQ189" s="6">
        <f t="shared" si="195"/>
        <v>0.53905599999999998</v>
      </c>
      <c r="BR189" s="4">
        <f t="shared" si="221"/>
        <v>150.6</v>
      </c>
      <c r="BS189" s="4" t="b">
        <f t="shared" si="222"/>
        <v>0</v>
      </c>
      <c r="BT189" s="4">
        <f t="shared" si="223"/>
        <v>0</v>
      </c>
      <c r="BU189" s="6">
        <f t="shared" si="196"/>
        <v>0</v>
      </c>
      <c r="BV189" s="1">
        <f t="shared" si="224"/>
        <v>0</v>
      </c>
      <c r="BW189" s="1">
        <f t="shared" si="225"/>
        <v>0</v>
      </c>
      <c r="BX189" s="116">
        <v>486</v>
      </c>
      <c r="BY189" s="7">
        <f t="shared" si="233"/>
        <v>0.15</v>
      </c>
      <c r="BZ189" s="7">
        <f>IF(ROUND((Weightings!$P$5*BY189^Weightings!$P$6*Weightings!$P$8 ),2)&lt;Weightings!$P$7,Weightings!$P$7,ROUND((Weightings!$P$5*BY189^Weightings!$P$6*Weightings!$P$8 ),2))</f>
        <v>1544.93</v>
      </c>
      <c r="CA189" s="8">
        <f>ROUND(BZ189/Weightings!$M$5,4)</f>
        <v>0.40250000000000002</v>
      </c>
      <c r="CB189" s="1">
        <f t="shared" si="234"/>
        <v>30.2</v>
      </c>
      <c r="CC189" s="173">
        <v>0</v>
      </c>
      <c r="CD189" s="173">
        <v>0</v>
      </c>
      <c r="CE189" s="173">
        <v>0</v>
      </c>
      <c r="CF189" s="177">
        <v>0</v>
      </c>
      <c r="CG189" s="2">
        <f>AS189*Weightings!$M$5*CF189</f>
        <v>0</v>
      </c>
      <c r="CH189" s="2">
        <f t="shared" si="198"/>
        <v>0</v>
      </c>
      <c r="CI189" s="117">
        <f t="shared" si="226"/>
        <v>0.38300000000000001</v>
      </c>
      <c r="CJ189" s="4">
        <f t="shared" si="227"/>
        <v>0.6</v>
      </c>
      <c r="CK189" s="1">
        <f t="shared" si="235"/>
        <v>0</v>
      </c>
      <c r="CL189" s="1">
        <f t="shared" si="236"/>
        <v>0</v>
      </c>
      <c r="CM189" s="1">
        <f t="shared" si="237"/>
        <v>2.5</v>
      </c>
      <c r="CN189" s="1">
        <f>IF(ISNA(VLOOKUP($CZ189,'Audit Values'!$A$2:$AE$439,2,FALSE)),'Preliminary SO66'!T186,VLOOKUP($CZ189,'Audit Values'!$A$2:$AE$439,20,FALSE))</f>
        <v>0</v>
      </c>
      <c r="CO189" s="1">
        <f t="shared" si="228"/>
        <v>0</v>
      </c>
      <c r="CP189" s="183">
        <v>0</v>
      </c>
      <c r="CQ189" s="1">
        <f t="shared" si="229"/>
        <v>0</v>
      </c>
      <c r="CR189" s="2">
        <f>IF(ISNA(VLOOKUP($CZ189,'Audit Values'!$A$2:$AE$439,2,FALSE)),'Preliminary SO66'!V186,VLOOKUP($CZ189,'Audit Values'!$A$2:$AE$439,22,FALSE))</f>
        <v>0</v>
      </c>
      <c r="CS189" s="1">
        <f t="shared" si="230"/>
        <v>0</v>
      </c>
      <c r="CT189" s="2">
        <f>IF(ISNA(VLOOKUP($CZ189,'Audit Values'!$A$2:$AE$439,2,FALSE)),'Preliminary SO66'!W186,VLOOKUP($CZ189,'Audit Values'!$A$2:$AE$439,23,FALSE))</f>
        <v>0</v>
      </c>
      <c r="CU189" s="1">
        <f t="shared" si="243"/>
        <v>0</v>
      </c>
      <c r="CV189" s="1">
        <f t="shared" si="244"/>
        <v>0</v>
      </c>
      <c r="CW189" s="176">
        <v>0</v>
      </c>
      <c r="CX189" s="2">
        <f>IF(CW189&gt;0,Weightings!$M$11*AR189,0)</f>
        <v>0</v>
      </c>
      <c r="CY189" s="2">
        <f t="shared" si="238"/>
        <v>0</v>
      </c>
      <c r="CZ189" s="108" t="s">
        <v>481</v>
      </c>
    </row>
    <row r="190" spans="1:104">
      <c r="A190" s="82">
        <v>396</v>
      </c>
      <c r="B190" s="4" t="s">
        <v>12</v>
      </c>
      <c r="C190" s="4" t="s">
        <v>816</v>
      </c>
      <c r="D190" s="1">
        <v>698</v>
      </c>
      <c r="E190" s="1">
        <v>0</v>
      </c>
      <c r="F190" s="1">
        <f t="shared" si="240"/>
        <v>698</v>
      </c>
      <c r="G190" s="1">
        <v>683.8</v>
      </c>
      <c r="H190" s="1">
        <v>0</v>
      </c>
      <c r="I190" s="1">
        <f t="shared" si="201"/>
        <v>683.8</v>
      </c>
      <c r="J190" s="1">
        <f t="shared" si="202"/>
        <v>684.8</v>
      </c>
      <c r="K190" s="1">
        <f>IF(ISNA(VLOOKUP($CZ190,'Audit Values'!$A$2:$AE$439,2,FALSE)),'Preliminary SO66'!B187,VLOOKUP($CZ190,'Audit Values'!$A$2:$AE$439,31,FALSE))</f>
        <v>664.3</v>
      </c>
      <c r="L190" s="1">
        <f t="shared" si="203"/>
        <v>683.8</v>
      </c>
      <c r="M190" s="1">
        <f>IF(ISNA(VLOOKUP($CZ190,'Audit Values'!$A$2:$AE$439,2,FALSE)),'Preliminary SO66'!Z187,VLOOKUP($CZ190,'Audit Values'!$A$2:$AE$439,26,FALSE))</f>
        <v>0</v>
      </c>
      <c r="N190" s="1">
        <f t="shared" si="204"/>
        <v>683.8</v>
      </c>
      <c r="O190" s="1">
        <f>IF(ISNA(VLOOKUP($CZ190,'Audit Values'!$A$2:$AE$439,2,FALSE)),'Preliminary SO66'!C187,IF(VLOOKUP($CZ190,'Audit Values'!$A$2:$AE$439,28,FALSE)="",VLOOKUP($CZ190,'Audit Values'!$A$2:$AE$439,3,FALSE),VLOOKUP($CZ190,'Audit Values'!$A$2:$AE$439,28,FALSE)))</f>
        <v>3.5</v>
      </c>
      <c r="P190" s="109">
        <f t="shared" si="205"/>
        <v>667.8</v>
      </c>
      <c r="Q190" s="110">
        <f t="shared" si="206"/>
        <v>688.3</v>
      </c>
      <c r="R190" s="111">
        <f t="shared" si="207"/>
        <v>688.3</v>
      </c>
      <c r="S190" s="1">
        <f t="shared" si="208"/>
        <v>687.3</v>
      </c>
      <c r="T190" s="1">
        <f t="shared" si="239"/>
        <v>20.5</v>
      </c>
      <c r="U190" s="1">
        <f t="shared" si="209"/>
        <v>242.3</v>
      </c>
      <c r="V190" s="1">
        <f t="shared" si="199"/>
        <v>242.3</v>
      </c>
      <c r="W190" s="1">
        <f t="shared" si="200"/>
        <v>0</v>
      </c>
      <c r="X190" s="1">
        <f>IF(ISNA(VLOOKUP($CZ190,'Audit Values'!$A$2:$AE$439,2,FALSE)),'Preliminary SO66'!D187,VLOOKUP($CZ190,'Audit Values'!$A$2:$AE$439,4,FALSE))</f>
        <v>232</v>
      </c>
      <c r="Y190" s="1">
        <f>ROUND((X190/6)*Weightings!$M$6,1)</f>
        <v>19.3</v>
      </c>
      <c r="Z190" s="1">
        <f>IF(ISNA(VLOOKUP($CZ190,'Audit Values'!$A$2:$AE$439,2,FALSE)),'Preliminary SO66'!F187,VLOOKUP($CZ190,'Audit Values'!$A$2:$AE$439,6,FALSE))</f>
        <v>9.5</v>
      </c>
      <c r="AA190" s="1">
        <f>ROUND((Z190/6)*Weightings!$M$7,1)</f>
        <v>0.6</v>
      </c>
      <c r="AB190" s="2">
        <f>IF(ISNA(VLOOKUP($CZ190,'Audit Values'!$A$2:$AE$439,2,FALSE)),'Preliminary SO66'!H187,VLOOKUP($CZ190,'Audit Values'!$A$2:$AE$439,8,FALSE))</f>
        <v>207</v>
      </c>
      <c r="AC190" s="1">
        <f>ROUND(AB190*Weightings!$M$8,1)</f>
        <v>94.4</v>
      </c>
      <c r="AD190" s="1">
        <f t="shared" si="197"/>
        <v>0</v>
      </c>
      <c r="AE190" s="185">
        <v>98</v>
      </c>
      <c r="AF190" s="1">
        <f>AE190*Weightings!$M$9</f>
        <v>4.5999999999999996</v>
      </c>
      <c r="AG190" s="1">
        <f>IF(ISNA(VLOOKUP($CZ190,'Audit Values'!$A$2:$AE$439,2,FALSE)),'Preliminary SO66'!L187,VLOOKUP($CZ190,'Audit Values'!$A$2:$AE$439,12,FALSE))</f>
        <v>0</v>
      </c>
      <c r="AH190" s="1">
        <f>ROUND(AG190*Weightings!$M$10,1)</f>
        <v>0</v>
      </c>
      <c r="AI190" s="1">
        <f>IF(ISNA(VLOOKUP($CZ190,'Audit Values'!$A$2:$AE$439,2,FALSE)),'Preliminary SO66'!O187,VLOOKUP($CZ190,'Audit Values'!$A$2:$AE$439,15,FALSE))</f>
        <v>206</v>
      </c>
      <c r="AJ190" s="1">
        <f t="shared" si="210"/>
        <v>48</v>
      </c>
      <c r="AK190" s="1">
        <f>CC190/Weightings!$M$5</f>
        <v>0</v>
      </c>
      <c r="AL190" s="1">
        <f>CD190/Weightings!$M$5</f>
        <v>0</v>
      </c>
      <c r="AM190" s="1">
        <f>CH190/Weightings!$M$5</f>
        <v>0</v>
      </c>
      <c r="AN190" s="1">
        <f t="shared" si="211"/>
        <v>21.5</v>
      </c>
      <c r="AO190" s="1">
        <f>IF(ISNA(VLOOKUP($CZ190,'Audit Values'!$A$2:$AE$439,2,FALSE)),'Preliminary SO66'!X187,VLOOKUP($CZ190,'Audit Values'!$A$2:$AE$439,24,FALSE))</f>
        <v>0</v>
      </c>
      <c r="AP190" s="188">
        <v>773430</v>
      </c>
      <c r="AQ190" s="113">
        <f>AP190/Weightings!$M$5</f>
        <v>201.5</v>
      </c>
      <c r="AR190" s="113">
        <f t="shared" si="212"/>
        <v>1118</v>
      </c>
      <c r="AS190" s="1">
        <f t="shared" si="213"/>
        <v>1319.5</v>
      </c>
      <c r="AT190" s="1">
        <f t="shared" si="214"/>
        <v>1319.5</v>
      </c>
      <c r="AU190" s="2">
        <f t="shared" si="231"/>
        <v>10000</v>
      </c>
      <c r="AV190" s="82">
        <f>IF(ISNA(VLOOKUP($CZ190,'Audit Values'!$A$2:$AC$360,2,FALSE)),"",IF(AND(Weightings!H190&gt;0,VLOOKUP($CZ190,'Audit Values'!$A$2:$AC$360,29,FALSE)&lt;Weightings!H190),Weightings!H190,VLOOKUP($CZ190,'Audit Values'!$A$2:$AC$360,29,FALSE)))</f>
        <v>11</v>
      </c>
      <c r="AW190" s="82" t="str">
        <f>IF(ISNA(VLOOKUP($CZ190,'Audit Values'!$A$2:$AD$360,2,FALSE)),"",VLOOKUP($CZ190,'Audit Values'!$A$2:$AD$360,30,FALSE))</f>
        <v>A</v>
      </c>
      <c r="AX190" s="82" t="str">
        <f>IF(Weightings!G190="","",IF(Weightings!I190="Pending","PX","R"))</f>
        <v/>
      </c>
      <c r="AY190" s="114">
        <f>AR190*Weightings!$M$5+AU190</f>
        <v>4300884</v>
      </c>
      <c r="AZ190" s="2">
        <f>AT190*Weightings!$M$5+AU190</f>
        <v>5074241</v>
      </c>
      <c r="BA190" s="2">
        <f>IF(Weightings!G190&gt;0,Weightings!G190,'Preliminary SO66'!AB187)</f>
        <v>5314116</v>
      </c>
      <c r="BB190" s="2">
        <f t="shared" si="215"/>
        <v>5074241</v>
      </c>
      <c r="BC190" s="124"/>
      <c r="BD190" s="124">
        <f>Weightings!E190</f>
        <v>0</v>
      </c>
      <c r="BE190" s="124">
        <f>Weightings!F190</f>
        <v>0</v>
      </c>
      <c r="BF190" s="2">
        <f t="shared" si="216"/>
        <v>0</v>
      </c>
      <c r="BG190" s="2">
        <f t="shared" si="217"/>
        <v>5074241</v>
      </c>
      <c r="BH190" s="2">
        <f>MAX(ROUND(((AR190-AO190)*4433)+AP190,0),ROUND(((AR190-AO190)*4433)+Weightings!B190,0))</f>
        <v>5729524</v>
      </c>
      <c r="BI190" s="174">
        <v>0.3</v>
      </c>
      <c r="BJ190" s="2">
        <f t="shared" si="245"/>
        <v>1718857</v>
      </c>
      <c r="BK190" s="173">
        <v>1794665</v>
      </c>
      <c r="BL190" s="2">
        <f t="shared" ref="BL190:BL244" si="246">MIN(BJ190,BK190)</f>
        <v>1718857</v>
      </c>
      <c r="BM190" s="3">
        <f t="shared" si="232"/>
        <v>0.3</v>
      </c>
      <c r="BN190" s="1">
        <f t="shared" si="218"/>
        <v>0</v>
      </c>
      <c r="BO190" s="4" t="b">
        <f t="shared" si="219"/>
        <v>0</v>
      </c>
      <c r="BP190" s="5">
        <f t="shared" si="220"/>
        <v>0</v>
      </c>
      <c r="BQ190" s="6">
        <f t="shared" ref="BQ190:BQ246" si="247">IF(BO190=TRUE,ROUND(((7337-BP190)/3642.4)-1,6),0)</f>
        <v>0</v>
      </c>
      <c r="BR190" s="4">
        <f t="shared" si="221"/>
        <v>0</v>
      </c>
      <c r="BS190" s="4" t="b">
        <f t="shared" si="222"/>
        <v>1</v>
      </c>
      <c r="BT190" s="4">
        <f t="shared" si="223"/>
        <v>479.28379999999999</v>
      </c>
      <c r="BU190" s="6">
        <f t="shared" ref="BU190:BU246" si="248">IF(BS190=TRUE,ROUND(((5406-BT190)/3642.4)-1,6),0)</f>
        <v>0.35260200000000003</v>
      </c>
      <c r="BV190" s="1">
        <f t="shared" si="224"/>
        <v>242.3</v>
      </c>
      <c r="BW190" s="1">
        <f t="shared" si="225"/>
        <v>0</v>
      </c>
      <c r="BX190" s="116">
        <v>125</v>
      </c>
      <c r="BY190" s="7">
        <f t="shared" si="233"/>
        <v>1.65</v>
      </c>
      <c r="BZ190" s="7">
        <f>IF(ROUND((Weightings!$P$5*BY190^Weightings!$P$6*Weightings!$P$8 ),2)&lt;Weightings!$P$7,Weightings!$P$7,ROUND((Weightings!$P$5*BY190^Weightings!$P$6*Weightings!$P$8 ),2))</f>
        <v>894.06</v>
      </c>
      <c r="CA190" s="8">
        <f>ROUND(BZ190/Weightings!$M$5,4)</f>
        <v>0.2329</v>
      </c>
      <c r="CB190" s="1">
        <f t="shared" si="234"/>
        <v>48</v>
      </c>
      <c r="CC190" s="173">
        <v>0</v>
      </c>
      <c r="CD190" s="173">
        <v>0</v>
      </c>
      <c r="CE190" s="173">
        <v>0</v>
      </c>
      <c r="CF190" s="177">
        <v>0</v>
      </c>
      <c r="CG190" s="2">
        <f>AS190*Weightings!$M$5*CF190</f>
        <v>0</v>
      </c>
      <c r="CH190" s="2">
        <f t="shared" si="198"/>
        <v>0</v>
      </c>
      <c r="CI190" s="117">
        <f t="shared" si="226"/>
        <v>0.30099999999999999</v>
      </c>
      <c r="CJ190" s="4">
        <f t="shared" si="227"/>
        <v>5.5</v>
      </c>
      <c r="CK190" s="1">
        <f t="shared" si="235"/>
        <v>0</v>
      </c>
      <c r="CL190" s="1">
        <f t="shared" si="236"/>
        <v>0</v>
      </c>
      <c r="CM190" s="1">
        <f t="shared" si="237"/>
        <v>0</v>
      </c>
      <c r="CN190" s="1">
        <f>IF(ISNA(VLOOKUP($CZ190,'Audit Values'!$A$2:$AE$439,2,FALSE)),'Preliminary SO66'!T187,VLOOKUP($CZ190,'Audit Values'!$A$2:$AE$439,20,FALSE))</f>
        <v>20.5</v>
      </c>
      <c r="CO190" s="1">
        <f t="shared" si="228"/>
        <v>21.5</v>
      </c>
      <c r="CP190" s="183">
        <v>0</v>
      </c>
      <c r="CQ190" s="1">
        <f t="shared" si="229"/>
        <v>0</v>
      </c>
      <c r="CR190" s="2">
        <f>IF(ISNA(VLOOKUP($CZ190,'Audit Values'!$A$2:$AE$439,2,FALSE)),'Preliminary SO66'!V187,VLOOKUP($CZ190,'Audit Values'!$A$2:$AE$439,22,FALSE))</f>
        <v>0</v>
      </c>
      <c r="CS190" s="1">
        <f t="shared" si="230"/>
        <v>0</v>
      </c>
      <c r="CT190" s="2">
        <f>IF(ISNA(VLOOKUP($CZ190,'Audit Values'!$A$2:$AE$439,2,FALSE)),'Preliminary SO66'!W187,VLOOKUP($CZ190,'Audit Values'!$A$2:$AE$439,23,FALSE))</f>
        <v>0</v>
      </c>
      <c r="CU190" s="1">
        <f t="shared" si="243"/>
        <v>0</v>
      </c>
      <c r="CV190" s="1">
        <f t="shared" si="244"/>
        <v>21.5</v>
      </c>
      <c r="CW190" s="176">
        <v>10000</v>
      </c>
      <c r="CX190" s="2">
        <f>IF(CW190&gt;0,Weightings!$M$11*AR190,0)</f>
        <v>279500</v>
      </c>
      <c r="CY190" s="2">
        <f t="shared" si="238"/>
        <v>10000</v>
      </c>
      <c r="CZ190" s="108" t="s">
        <v>482</v>
      </c>
    </row>
    <row r="191" spans="1:104">
      <c r="A191" s="82">
        <v>397</v>
      </c>
      <c r="B191" s="4" t="s">
        <v>91</v>
      </c>
      <c r="C191" s="4" t="s">
        <v>817</v>
      </c>
      <c r="D191" s="1">
        <v>246</v>
      </c>
      <c r="E191" s="1">
        <v>0</v>
      </c>
      <c r="F191" s="1">
        <f t="shared" si="240"/>
        <v>246</v>
      </c>
      <c r="G191" s="1">
        <v>230.5</v>
      </c>
      <c r="H191" s="1">
        <v>0</v>
      </c>
      <c r="I191" s="1">
        <f t="shared" si="201"/>
        <v>230.5</v>
      </c>
      <c r="J191" s="1">
        <f t="shared" si="202"/>
        <v>391.1</v>
      </c>
      <c r="K191" s="1">
        <f>IF(ISNA(VLOOKUP($CZ191,'Audit Values'!$A$2:$AE$439,2,FALSE)),'Preliminary SO66'!B188,VLOOKUP($CZ191,'Audit Values'!$A$2:$AE$439,31,FALSE))</f>
        <v>226.3</v>
      </c>
      <c r="L191" s="1">
        <f t="shared" si="203"/>
        <v>234.3</v>
      </c>
      <c r="M191" s="1">
        <f>IF(ISNA(VLOOKUP($CZ191,'Audit Values'!$A$2:$AE$439,2,FALSE)),'Preliminary SO66'!Z188,VLOOKUP($CZ191,'Audit Values'!$A$2:$AE$439,26,FALSE))</f>
        <v>0</v>
      </c>
      <c r="N191" s="1">
        <f t="shared" si="204"/>
        <v>234.3</v>
      </c>
      <c r="O191" s="1">
        <f>IF(ISNA(VLOOKUP($CZ191,'Audit Values'!$A$2:$AE$439,2,FALSE)),'Preliminary SO66'!C188,IF(VLOOKUP($CZ191,'Audit Values'!$A$2:$AE$439,28,FALSE)="",VLOOKUP($CZ191,'Audit Values'!$A$2:$AE$439,3,FALSE),VLOOKUP($CZ191,'Audit Values'!$A$2:$AE$439,28,FALSE)))</f>
        <v>0</v>
      </c>
      <c r="P191" s="109">
        <f t="shared" si="205"/>
        <v>226.3</v>
      </c>
      <c r="Q191" s="110">
        <f t="shared" si="206"/>
        <v>391.1</v>
      </c>
      <c r="R191" s="111">
        <f t="shared" si="207"/>
        <v>391.1</v>
      </c>
      <c r="S191" s="1">
        <f t="shared" si="208"/>
        <v>234.3</v>
      </c>
      <c r="T191" s="1">
        <f t="shared" si="239"/>
        <v>164.8</v>
      </c>
      <c r="U191" s="1">
        <f t="shared" si="209"/>
        <v>154.19999999999999</v>
      </c>
      <c r="V191" s="1">
        <f t="shared" si="199"/>
        <v>154.19999999999999</v>
      </c>
      <c r="W191" s="1">
        <f t="shared" si="200"/>
        <v>0</v>
      </c>
      <c r="X191" s="1">
        <f>IF(ISNA(VLOOKUP($CZ191,'Audit Values'!$A$2:$AE$439,2,FALSE)),'Preliminary SO66'!D188,VLOOKUP($CZ191,'Audit Values'!$A$2:$AE$439,4,FALSE))</f>
        <v>108.6</v>
      </c>
      <c r="Y191" s="1">
        <f>ROUND((X191/6)*Weightings!$M$6,1)</f>
        <v>9.1</v>
      </c>
      <c r="Z191" s="1">
        <f>IF(ISNA(VLOOKUP($CZ191,'Audit Values'!$A$2:$AE$439,2,FALSE)),'Preliminary SO66'!F188,VLOOKUP($CZ191,'Audit Values'!$A$2:$AE$439,6,FALSE))</f>
        <v>0</v>
      </c>
      <c r="AA191" s="1">
        <f>ROUND((Z191/6)*Weightings!$M$7,1)</f>
        <v>0</v>
      </c>
      <c r="AB191" s="2">
        <f>IF(ISNA(VLOOKUP($CZ191,'Audit Values'!$A$2:$AE$439,2,FALSE)),'Preliminary SO66'!H188,VLOOKUP($CZ191,'Audit Values'!$A$2:$AE$439,8,FALSE))</f>
        <v>72</v>
      </c>
      <c r="AC191" s="1">
        <f>ROUND(AB191*Weightings!$M$8,1)</f>
        <v>32.799999999999997</v>
      </c>
      <c r="AD191" s="1">
        <f t="shared" ref="AD191:AD245" si="249">MAX(CK191,CL191,CM191)</f>
        <v>0</v>
      </c>
      <c r="AE191" s="185">
        <v>27</v>
      </c>
      <c r="AF191" s="1">
        <f>AE191*Weightings!$M$9</f>
        <v>1.3</v>
      </c>
      <c r="AG191" s="1">
        <f>IF(ISNA(VLOOKUP($CZ191,'Audit Values'!$A$2:$AE$439,2,FALSE)),'Preliminary SO66'!L188,VLOOKUP($CZ191,'Audit Values'!$A$2:$AE$439,12,FALSE))</f>
        <v>0</v>
      </c>
      <c r="AH191" s="1">
        <f>ROUND(AG191*Weightings!$M$10,1)</f>
        <v>0</v>
      </c>
      <c r="AI191" s="1">
        <f>IF(ISNA(VLOOKUP($CZ191,'Audit Values'!$A$2:$AE$439,2,FALSE)),'Preliminary SO66'!O188,VLOOKUP($CZ191,'Audit Values'!$A$2:$AE$439,15,FALSE))</f>
        <v>184.5</v>
      </c>
      <c r="AJ191" s="1">
        <f t="shared" si="210"/>
        <v>57.5</v>
      </c>
      <c r="AK191" s="1">
        <f>CC191/Weightings!$M$5</f>
        <v>0</v>
      </c>
      <c r="AL191" s="1">
        <f>CD191/Weightings!$M$5</f>
        <v>0</v>
      </c>
      <c r="AM191" s="1">
        <f>CH191/Weightings!$M$5</f>
        <v>0</v>
      </c>
      <c r="AN191" s="1">
        <f t="shared" si="211"/>
        <v>173</v>
      </c>
      <c r="AO191" s="1">
        <f>IF(ISNA(VLOOKUP($CZ191,'Audit Values'!$A$2:$AE$439,2,FALSE)),'Preliminary SO66'!X188,VLOOKUP($CZ191,'Audit Values'!$A$2:$AE$439,24,FALSE))</f>
        <v>0</v>
      </c>
      <c r="AP191" s="188">
        <v>426196.99999999994</v>
      </c>
      <c r="AQ191" s="113">
        <f>AP191/Weightings!$M$5</f>
        <v>111</v>
      </c>
      <c r="AR191" s="113">
        <f t="shared" si="212"/>
        <v>662.2</v>
      </c>
      <c r="AS191" s="1">
        <f t="shared" si="213"/>
        <v>773.2</v>
      </c>
      <c r="AT191" s="1">
        <f t="shared" si="214"/>
        <v>773.2</v>
      </c>
      <c r="AU191" s="2">
        <f t="shared" si="231"/>
        <v>0</v>
      </c>
      <c r="AV191" s="82">
        <f>IF(ISNA(VLOOKUP($CZ191,'Audit Values'!$A$2:$AC$360,2,FALSE)),"",IF(AND(Weightings!H191&gt;0,VLOOKUP($CZ191,'Audit Values'!$A$2:$AC$360,29,FALSE)&lt;Weightings!H191),Weightings!H191,VLOOKUP($CZ191,'Audit Values'!$A$2:$AC$360,29,FALSE)))</f>
        <v>6</v>
      </c>
      <c r="AW191" s="82" t="str">
        <f>IF(ISNA(VLOOKUP($CZ191,'Audit Values'!$A$2:$AD$360,2,FALSE)),"",VLOOKUP($CZ191,'Audit Values'!$A$2:$AD$360,30,FALSE))</f>
        <v>A</v>
      </c>
      <c r="AX191" s="82" t="str">
        <f>IF(Weightings!G191="","",IF(Weightings!I191="Pending","PX","R"))</f>
        <v>R</v>
      </c>
      <c r="AY191" s="114">
        <f>AR191*Weightings!$M$5+AU191</f>
        <v>2541524</v>
      </c>
      <c r="AZ191" s="2">
        <f>AT191*Weightings!$M$5+AU191</f>
        <v>2967542</v>
      </c>
      <c r="BA191" s="2">
        <f>IF(Weightings!G191&gt;0,Weightings!G191,'Preliminary SO66'!AB188)</f>
        <v>3032788</v>
      </c>
      <c r="BB191" s="2">
        <f t="shared" si="215"/>
        <v>2967542</v>
      </c>
      <c r="BC191" s="124"/>
      <c r="BD191" s="124">
        <f>Weightings!E191</f>
        <v>0</v>
      </c>
      <c r="BE191" s="124">
        <f>Weightings!F191</f>
        <v>0</v>
      </c>
      <c r="BF191" s="2">
        <f t="shared" si="216"/>
        <v>0</v>
      </c>
      <c r="BG191" s="2">
        <f t="shared" si="217"/>
        <v>2967542</v>
      </c>
      <c r="BH191" s="2">
        <f>MAX(ROUND(((AR191-AO191)*4433)+AP191,0),ROUND(((AR191-AO191)*4433)+Weightings!B191,0))</f>
        <v>3361730</v>
      </c>
      <c r="BI191" s="174">
        <v>0.3</v>
      </c>
      <c r="BJ191" s="2">
        <f t="shared" si="245"/>
        <v>1008519</v>
      </c>
      <c r="BK191" s="173">
        <v>655000</v>
      </c>
      <c r="BL191" s="2">
        <f t="shared" si="246"/>
        <v>655000</v>
      </c>
      <c r="BM191" s="3">
        <f t="shared" si="232"/>
        <v>0.1948</v>
      </c>
      <c r="BN191" s="1">
        <f t="shared" si="218"/>
        <v>0</v>
      </c>
      <c r="BO191" s="4" t="b">
        <f t="shared" si="219"/>
        <v>1</v>
      </c>
      <c r="BP191" s="5">
        <f t="shared" si="220"/>
        <v>1296.6669999999999</v>
      </c>
      <c r="BQ191" s="6">
        <f t="shared" si="247"/>
        <v>0.65833900000000001</v>
      </c>
      <c r="BR191" s="4">
        <f t="shared" si="221"/>
        <v>154.19999999999999</v>
      </c>
      <c r="BS191" s="4" t="b">
        <f t="shared" si="222"/>
        <v>0</v>
      </c>
      <c r="BT191" s="4">
        <f t="shared" si="223"/>
        <v>0</v>
      </c>
      <c r="BU191" s="6">
        <f t="shared" si="248"/>
        <v>0</v>
      </c>
      <c r="BV191" s="1">
        <f t="shared" si="224"/>
        <v>0</v>
      </c>
      <c r="BW191" s="1">
        <f t="shared" si="225"/>
        <v>0</v>
      </c>
      <c r="BX191" s="116">
        <v>400</v>
      </c>
      <c r="BY191" s="7">
        <f t="shared" si="233"/>
        <v>0.46</v>
      </c>
      <c r="BZ191" s="7">
        <f>IF(ROUND((Weightings!$P$5*BY191^Weightings!$P$6*Weightings!$P$8 ),2)&lt;Weightings!$P$7,Weightings!$P$7,ROUND((Weightings!$P$5*BY191^Weightings!$P$6*Weightings!$P$8 ),2))</f>
        <v>1196.46</v>
      </c>
      <c r="CA191" s="8">
        <f>ROUND(BZ191/Weightings!$M$5,4)</f>
        <v>0.31169999999999998</v>
      </c>
      <c r="CB191" s="1">
        <f t="shared" si="234"/>
        <v>57.5</v>
      </c>
      <c r="CC191" s="173">
        <v>0</v>
      </c>
      <c r="CD191" s="173">
        <v>0</v>
      </c>
      <c r="CE191" s="173">
        <v>0</v>
      </c>
      <c r="CF191" s="177">
        <v>0</v>
      </c>
      <c r="CG191" s="2">
        <f>AS191*Weightings!$M$5*CF191</f>
        <v>0</v>
      </c>
      <c r="CH191" s="2">
        <f t="shared" ref="CH191:CH245" si="250">IF(CE191&gt;CG191,CG191,CE191)</f>
        <v>0</v>
      </c>
      <c r="CI191" s="117">
        <f t="shared" si="226"/>
        <v>0.307</v>
      </c>
      <c r="CJ191" s="4">
        <f t="shared" si="227"/>
        <v>0.6</v>
      </c>
      <c r="CK191" s="1">
        <f t="shared" si="235"/>
        <v>0</v>
      </c>
      <c r="CL191" s="1">
        <f t="shared" si="236"/>
        <v>0</v>
      </c>
      <c r="CM191" s="1">
        <f t="shared" si="237"/>
        <v>0</v>
      </c>
      <c r="CN191" s="1">
        <f>IF(ISNA(VLOOKUP($CZ191,'Audit Values'!$A$2:$AE$439,2,FALSE)),'Preliminary SO66'!T188,VLOOKUP($CZ191,'Audit Values'!$A$2:$AE$439,20,FALSE))</f>
        <v>164.8</v>
      </c>
      <c r="CO191" s="1">
        <f t="shared" si="228"/>
        <v>173</v>
      </c>
      <c r="CP191" s="183">
        <v>0</v>
      </c>
      <c r="CQ191" s="1">
        <f t="shared" si="229"/>
        <v>0</v>
      </c>
      <c r="CR191" s="2">
        <f>IF(ISNA(VLOOKUP($CZ191,'Audit Values'!$A$2:$AE$439,2,FALSE)),'Preliminary SO66'!V188,VLOOKUP($CZ191,'Audit Values'!$A$2:$AE$439,22,FALSE))</f>
        <v>0</v>
      </c>
      <c r="CS191" s="1">
        <f t="shared" si="230"/>
        <v>0</v>
      </c>
      <c r="CT191" s="2">
        <f>IF(ISNA(VLOOKUP($CZ191,'Audit Values'!$A$2:$AE$439,2,FALSE)),'Preliminary SO66'!W188,VLOOKUP($CZ191,'Audit Values'!$A$2:$AE$439,23,FALSE))</f>
        <v>0</v>
      </c>
      <c r="CU191" s="1">
        <f t="shared" si="243"/>
        <v>0</v>
      </c>
      <c r="CV191" s="1">
        <f t="shared" si="244"/>
        <v>173</v>
      </c>
      <c r="CW191" s="176">
        <v>0</v>
      </c>
      <c r="CX191" s="2">
        <f>IF(CW191&gt;0,Weightings!$M$11*AR191,0)</f>
        <v>0</v>
      </c>
      <c r="CY191" s="2">
        <f t="shared" si="238"/>
        <v>0</v>
      </c>
      <c r="CZ191" s="108" t="s">
        <v>483</v>
      </c>
    </row>
    <row r="192" spans="1:104">
      <c r="A192" s="82">
        <v>398</v>
      </c>
      <c r="B192" s="4" t="s">
        <v>91</v>
      </c>
      <c r="C192" s="4" t="s">
        <v>818</v>
      </c>
      <c r="D192" s="1">
        <v>291.3</v>
      </c>
      <c r="E192" s="1">
        <v>0</v>
      </c>
      <c r="F192" s="1">
        <f t="shared" si="240"/>
        <v>291.3</v>
      </c>
      <c r="G192" s="1">
        <v>271.10000000000002</v>
      </c>
      <c r="H192" s="1">
        <v>0</v>
      </c>
      <c r="I192" s="1">
        <f t="shared" si="201"/>
        <v>271.10000000000002</v>
      </c>
      <c r="J192" s="1">
        <f t="shared" si="202"/>
        <v>255.5</v>
      </c>
      <c r="K192" s="1">
        <f>IF(ISNA(VLOOKUP($CZ192,'Audit Values'!$A$2:$AE$439,2,FALSE)),'Preliminary SO66'!B189,VLOOKUP($CZ192,'Audit Values'!$A$2:$AE$439,31,FALSE))</f>
        <v>255.5</v>
      </c>
      <c r="L192" s="1">
        <f t="shared" si="203"/>
        <v>272.60000000000002</v>
      </c>
      <c r="M192" s="1">
        <f>IF(ISNA(VLOOKUP($CZ192,'Audit Values'!$A$2:$AE$439,2,FALSE)),'Preliminary SO66'!Z189,VLOOKUP($CZ192,'Audit Values'!$A$2:$AE$439,26,FALSE))</f>
        <v>0</v>
      </c>
      <c r="N192" s="1">
        <f t="shared" si="204"/>
        <v>272.60000000000002</v>
      </c>
      <c r="O192" s="1">
        <f>IF(ISNA(VLOOKUP($CZ192,'Audit Values'!$A$2:$AE$439,2,FALSE)),'Preliminary SO66'!C189,IF(VLOOKUP($CZ192,'Audit Values'!$A$2:$AE$439,28,FALSE)="",VLOOKUP($CZ192,'Audit Values'!$A$2:$AE$439,3,FALSE),VLOOKUP($CZ192,'Audit Values'!$A$2:$AE$439,28,FALSE)))</f>
        <v>4</v>
      </c>
      <c r="P192" s="109">
        <f t="shared" si="205"/>
        <v>259.5</v>
      </c>
      <c r="Q192" s="110">
        <f t="shared" si="206"/>
        <v>259.5</v>
      </c>
      <c r="R192" s="111">
        <f t="shared" si="207"/>
        <v>259.5</v>
      </c>
      <c r="S192" s="1">
        <f t="shared" si="208"/>
        <v>276.60000000000002</v>
      </c>
      <c r="T192" s="1">
        <f t="shared" si="239"/>
        <v>0</v>
      </c>
      <c r="U192" s="1">
        <f t="shared" si="209"/>
        <v>151.1</v>
      </c>
      <c r="V192" s="1">
        <f t="shared" si="199"/>
        <v>151.1</v>
      </c>
      <c r="W192" s="1">
        <f t="shared" si="200"/>
        <v>0</v>
      </c>
      <c r="X192" s="1">
        <f>IF(ISNA(VLOOKUP($CZ192,'Audit Values'!$A$2:$AE$439,2,FALSE)),'Preliminary SO66'!D189,VLOOKUP($CZ192,'Audit Values'!$A$2:$AE$439,4,FALSE))</f>
        <v>122.8</v>
      </c>
      <c r="Y192" s="1">
        <f>ROUND((X192/6)*Weightings!$M$6,1)</f>
        <v>10.199999999999999</v>
      </c>
      <c r="Z192" s="1">
        <f>IF(ISNA(VLOOKUP($CZ192,'Audit Values'!$A$2:$AE$439,2,FALSE)),'Preliminary SO66'!F189,VLOOKUP($CZ192,'Audit Values'!$A$2:$AE$439,6,FALSE))</f>
        <v>0</v>
      </c>
      <c r="AA192" s="1">
        <f>ROUND((Z192/6)*Weightings!$M$7,1)</f>
        <v>0</v>
      </c>
      <c r="AB192" s="2">
        <f>IF(ISNA(VLOOKUP($CZ192,'Audit Values'!$A$2:$AE$439,2,FALSE)),'Preliminary SO66'!H189,VLOOKUP($CZ192,'Audit Values'!$A$2:$AE$439,8,FALSE))</f>
        <v>123</v>
      </c>
      <c r="AC192" s="1">
        <f>ROUND(AB192*Weightings!$M$8,1)</f>
        <v>56.1</v>
      </c>
      <c r="AD192" s="1">
        <f t="shared" si="249"/>
        <v>8.1999999999999993</v>
      </c>
      <c r="AE192" s="185">
        <v>18</v>
      </c>
      <c r="AF192" s="1">
        <f>AE192*Weightings!$M$9</f>
        <v>0.8</v>
      </c>
      <c r="AG192" s="1">
        <f>IF(ISNA(VLOOKUP($CZ192,'Audit Values'!$A$2:$AE$439,2,FALSE)),'Preliminary SO66'!L189,VLOOKUP($CZ192,'Audit Values'!$A$2:$AE$439,12,FALSE))</f>
        <v>0</v>
      </c>
      <c r="AH192" s="1">
        <f>ROUND(AG192*Weightings!$M$10,1)</f>
        <v>0</v>
      </c>
      <c r="AI192" s="1">
        <f>IF(ISNA(VLOOKUP($CZ192,'Audit Values'!$A$2:$AE$439,2,FALSE)),'Preliminary SO66'!O189,VLOOKUP($CZ192,'Audit Values'!$A$2:$AE$439,15,FALSE))</f>
        <v>83</v>
      </c>
      <c r="AJ192" s="1">
        <f t="shared" si="210"/>
        <v>27.5</v>
      </c>
      <c r="AK192" s="1">
        <f>CC192/Weightings!$M$5</f>
        <v>0</v>
      </c>
      <c r="AL192" s="1">
        <f>CD192/Weightings!$M$5</f>
        <v>0</v>
      </c>
      <c r="AM192" s="1">
        <f>CH192/Weightings!$M$5</f>
        <v>0</v>
      </c>
      <c r="AN192" s="1">
        <f t="shared" si="211"/>
        <v>0</v>
      </c>
      <c r="AO192" s="1">
        <f>IF(ISNA(VLOOKUP($CZ192,'Audit Values'!$A$2:$AE$439,2,FALSE)),'Preliminary SO66'!X189,VLOOKUP($CZ192,'Audit Values'!$A$2:$AE$439,24,FALSE))</f>
        <v>0</v>
      </c>
      <c r="AP192" s="188">
        <v>392173</v>
      </c>
      <c r="AQ192" s="113">
        <f>AP192/Weightings!$M$5</f>
        <v>102.2</v>
      </c>
      <c r="AR192" s="113">
        <f t="shared" si="212"/>
        <v>530.5</v>
      </c>
      <c r="AS192" s="1">
        <f t="shared" si="213"/>
        <v>632.70000000000005</v>
      </c>
      <c r="AT192" s="1">
        <f t="shared" si="214"/>
        <v>632.70000000000005</v>
      </c>
      <c r="AU192" s="2">
        <f t="shared" si="231"/>
        <v>0</v>
      </c>
      <c r="AV192" s="82">
        <f>IF(ISNA(VLOOKUP($CZ192,'Audit Values'!$A$2:$AC$360,2,FALSE)),"",IF(AND(Weightings!H192&gt;0,VLOOKUP($CZ192,'Audit Values'!$A$2:$AC$360,29,FALSE)&lt;Weightings!H192),Weightings!H192,VLOOKUP($CZ192,'Audit Values'!$A$2:$AC$360,29,FALSE)))</f>
        <v>6</v>
      </c>
      <c r="AW192" s="82" t="str">
        <f>IF(ISNA(VLOOKUP($CZ192,'Audit Values'!$A$2:$AD$360,2,FALSE)),"",VLOOKUP($CZ192,'Audit Values'!$A$2:$AD$360,30,FALSE))</f>
        <v>A</v>
      </c>
      <c r="AX192" s="82" t="str">
        <f>IF(Weightings!G192="","",IF(Weightings!I192="Pending","PX","R"))</f>
        <v/>
      </c>
      <c r="AY192" s="114">
        <f>AR192*Weightings!$M$5+AU192</f>
        <v>2036059</v>
      </c>
      <c r="AZ192" s="2">
        <f>AT192*Weightings!$M$5+AU192</f>
        <v>2428303</v>
      </c>
      <c r="BA192" s="2">
        <f>IF(Weightings!G192&gt;0,Weightings!G192,'Preliminary SO66'!AB189)</f>
        <v>2527323</v>
      </c>
      <c r="BB192" s="2">
        <f t="shared" si="215"/>
        <v>2428303</v>
      </c>
      <c r="BC192" s="124"/>
      <c r="BD192" s="124">
        <f>Weightings!E192</f>
        <v>0</v>
      </c>
      <c r="BE192" s="124">
        <f>Weightings!F192</f>
        <v>0</v>
      </c>
      <c r="BF192" s="2">
        <f t="shared" si="216"/>
        <v>0</v>
      </c>
      <c r="BG192" s="2">
        <f t="shared" si="217"/>
        <v>2428303</v>
      </c>
      <c r="BH192" s="2">
        <f>MAX(ROUND(((AR192-AO192)*4433)+AP192,0),ROUND(((AR192-AO192)*4433)+Weightings!B192,0))</f>
        <v>2781198</v>
      </c>
      <c r="BI192" s="174">
        <v>0.3</v>
      </c>
      <c r="BJ192" s="2">
        <f t="shared" si="245"/>
        <v>834359</v>
      </c>
      <c r="BK192" s="173">
        <v>854111</v>
      </c>
      <c r="BL192" s="2">
        <f t="shared" si="246"/>
        <v>834359</v>
      </c>
      <c r="BM192" s="3">
        <f t="shared" si="232"/>
        <v>0.3</v>
      </c>
      <c r="BN192" s="1">
        <f t="shared" si="218"/>
        <v>0</v>
      </c>
      <c r="BO192" s="4" t="b">
        <f t="shared" si="219"/>
        <v>1</v>
      </c>
      <c r="BP192" s="5">
        <f t="shared" si="220"/>
        <v>1705.0730000000001</v>
      </c>
      <c r="BQ192" s="6">
        <f t="shared" si="247"/>
        <v>0.54621299999999995</v>
      </c>
      <c r="BR192" s="4">
        <f t="shared" si="221"/>
        <v>151.1</v>
      </c>
      <c r="BS192" s="4" t="b">
        <f t="shared" si="222"/>
        <v>0</v>
      </c>
      <c r="BT192" s="4">
        <f t="shared" si="223"/>
        <v>0</v>
      </c>
      <c r="BU192" s="6">
        <f t="shared" si="248"/>
        <v>0</v>
      </c>
      <c r="BV192" s="1">
        <f t="shared" si="224"/>
        <v>0</v>
      </c>
      <c r="BW192" s="1">
        <f t="shared" si="225"/>
        <v>0</v>
      </c>
      <c r="BX192" s="116">
        <v>235</v>
      </c>
      <c r="BY192" s="7">
        <f t="shared" si="233"/>
        <v>0.35</v>
      </c>
      <c r="BZ192" s="7">
        <f>IF(ROUND((Weightings!$P$5*BY192^Weightings!$P$6*Weightings!$P$8 ),2)&lt;Weightings!$P$7,Weightings!$P$7,ROUND((Weightings!$P$5*BY192^Weightings!$P$6*Weightings!$P$8 ),2))</f>
        <v>1273.42</v>
      </c>
      <c r="CA192" s="8">
        <f>ROUND(BZ192/Weightings!$M$5,4)</f>
        <v>0.33179999999999998</v>
      </c>
      <c r="CB192" s="1">
        <f t="shared" si="234"/>
        <v>27.5</v>
      </c>
      <c r="CC192" s="173">
        <v>0</v>
      </c>
      <c r="CD192" s="173">
        <v>0</v>
      </c>
      <c r="CE192" s="173">
        <v>0</v>
      </c>
      <c r="CF192" s="177">
        <v>0</v>
      </c>
      <c r="CG192" s="2">
        <f>AS192*Weightings!$M$5*CF192</f>
        <v>0</v>
      </c>
      <c r="CH192" s="2">
        <f t="shared" si="250"/>
        <v>0</v>
      </c>
      <c r="CI192" s="117">
        <f t="shared" si="226"/>
        <v>0.44500000000000001</v>
      </c>
      <c r="CJ192" s="4">
        <f t="shared" si="227"/>
        <v>1.2</v>
      </c>
      <c r="CK192" s="1">
        <f t="shared" si="235"/>
        <v>0</v>
      </c>
      <c r="CL192" s="1">
        <f t="shared" si="236"/>
        <v>0</v>
      </c>
      <c r="CM192" s="1">
        <f t="shared" si="237"/>
        <v>8.1999999999999993</v>
      </c>
      <c r="CN192" s="1">
        <f>IF(ISNA(VLOOKUP($CZ192,'Audit Values'!$A$2:$AE$439,2,FALSE)),'Preliminary SO66'!T189,VLOOKUP($CZ192,'Audit Values'!$A$2:$AE$439,20,FALSE))</f>
        <v>0</v>
      </c>
      <c r="CO192" s="1">
        <f t="shared" si="228"/>
        <v>0</v>
      </c>
      <c r="CP192" s="183">
        <v>0</v>
      </c>
      <c r="CQ192" s="1">
        <f t="shared" si="229"/>
        <v>0</v>
      </c>
      <c r="CR192" s="2">
        <f>IF(ISNA(VLOOKUP($CZ192,'Audit Values'!$A$2:$AE$439,2,FALSE)),'Preliminary SO66'!V189,VLOOKUP($CZ192,'Audit Values'!$A$2:$AE$439,22,FALSE))</f>
        <v>0</v>
      </c>
      <c r="CS192" s="1">
        <f t="shared" si="230"/>
        <v>0</v>
      </c>
      <c r="CT192" s="2">
        <f>IF(ISNA(VLOOKUP($CZ192,'Audit Values'!$A$2:$AE$439,2,FALSE)),'Preliminary SO66'!W189,VLOOKUP($CZ192,'Audit Values'!$A$2:$AE$439,23,FALSE))</f>
        <v>0</v>
      </c>
      <c r="CU192" s="1">
        <f t="shared" si="243"/>
        <v>0</v>
      </c>
      <c r="CV192" s="1">
        <f t="shared" si="244"/>
        <v>0</v>
      </c>
      <c r="CW192" s="176">
        <v>0</v>
      </c>
      <c r="CX192" s="2">
        <f>IF(CW192&gt;0,Weightings!$M$11*AR192,0)</f>
        <v>0</v>
      </c>
      <c r="CY192" s="2">
        <f t="shared" si="238"/>
        <v>0</v>
      </c>
      <c r="CZ192" s="108" t="s">
        <v>484</v>
      </c>
    </row>
    <row r="193" spans="1:104">
      <c r="A193" s="82">
        <v>399</v>
      </c>
      <c r="B193" s="4" t="s">
        <v>92</v>
      </c>
      <c r="C193" s="4" t="s">
        <v>819</v>
      </c>
      <c r="D193" s="1">
        <v>126</v>
      </c>
      <c r="E193" s="1">
        <v>0</v>
      </c>
      <c r="F193" s="1">
        <f t="shared" si="240"/>
        <v>126</v>
      </c>
      <c r="G193" s="1">
        <v>139.5</v>
      </c>
      <c r="H193" s="1">
        <v>0</v>
      </c>
      <c r="I193" s="1">
        <f t="shared" si="201"/>
        <v>139.5</v>
      </c>
      <c r="J193" s="1">
        <f t="shared" si="202"/>
        <v>127.1</v>
      </c>
      <c r="K193" s="1">
        <f>IF(ISNA(VLOOKUP($CZ193,'Audit Values'!$A$2:$AE$439,2,FALSE)),'Preliminary SO66'!B190,VLOOKUP($CZ193,'Audit Values'!$A$2:$AE$439,31,FALSE))</f>
        <v>127.1</v>
      </c>
      <c r="L193" s="1">
        <f t="shared" si="203"/>
        <v>139.5</v>
      </c>
      <c r="M193" s="1">
        <f>IF(ISNA(VLOOKUP($CZ193,'Audit Values'!$A$2:$AE$439,2,FALSE)),'Preliminary SO66'!Z190,VLOOKUP($CZ193,'Audit Values'!$A$2:$AE$439,26,FALSE))</f>
        <v>0</v>
      </c>
      <c r="N193" s="1">
        <f t="shared" si="204"/>
        <v>139.5</v>
      </c>
      <c r="O193" s="1">
        <f>IF(ISNA(VLOOKUP($CZ193,'Audit Values'!$A$2:$AE$439,2,FALSE)),'Preliminary SO66'!C190,IF(VLOOKUP($CZ193,'Audit Values'!$A$2:$AE$439,28,FALSE)="",VLOOKUP($CZ193,'Audit Values'!$A$2:$AE$439,3,FALSE),VLOOKUP($CZ193,'Audit Values'!$A$2:$AE$439,28,FALSE)))</f>
        <v>2.5</v>
      </c>
      <c r="P193" s="109">
        <f t="shared" si="205"/>
        <v>129.6</v>
      </c>
      <c r="Q193" s="110">
        <f t="shared" si="206"/>
        <v>129.6</v>
      </c>
      <c r="R193" s="111">
        <f t="shared" si="207"/>
        <v>129.6</v>
      </c>
      <c r="S193" s="1">
        <f t="shared" si="208"/>
        <v>142</v>
      </c>
      <c r="T193" s="1">
        <f t="shared" si="239"/>
        <v>0</v>
      </c>
      <c r="U193" s="1">
        <f t="shared" si="209"/>
        <v>128.19999999999999</v>
      </c>
      <c r="V193" s="1">
        <f t="shared" ref="V193:V247" si="251">MAX(BN193,BR193,BV193)</f>
        <v>128.19999999999999</v>
      </c>
      <c r="W193" s="1">
        <f t="shared" ref="W193:W247" si="252">BW193</f>
        <v>0</v>
      </c>
      <c r="X193" s="1">
        <f>IF(ISNA(VLOOKUP($CZ193,'Audit Values'!$A$2:$AE$439,2,FALSE)),'Preliminary SO66'!D190,VLOOKUP($CZ193,'Audit Values'!$A$2:$AE$439,4,FALSE))</f>
        <v>70.599999999999994</v>
      </c>
      <c r="Y193" s="1">
        <f>ROUND((X193/6)*Weightings!$M$6,1)</f>
        <v>5.9</v>
      </c>
      <c r="Z193" s="1">
        <f>IF(ISNA(VLOOKUP($CZ193,'Audit Values'!$A$2:$AE$439,2,FALSE)),'Preliminary SO66'!F190,VLOOKUP($CZ193,'Audit Values'!$A$2:$AE$439,6,FALSE))</f>
        <v>0</v>
      </c>
      <c r="AA193" s="1">
        <f>ROUND((Z193/6)*Weightings!$M$7,1)</f>
        <v>0</v>
      </c>
      <c r="AB193" s="2">
        <f>IF(ISNA(VLOOKUP($CZ193,'Audit Values'!$A$2:$AE$439,2,FALSE)),'Preliminary SO66'!H190,VLOOKUP($CZ193,'Audit Values'!$A$2:$AE$439,8,FALSE))</f>
        <v>40</v>
      </c>
      <c r="AC193" s="1">
        <f>ROUND(AB193*Weightings!$M$8,1)</f>
        <v>18.2</v>
      </c>
      <c r="AD193" s="1">
        <f t="shared" si="249"/>
        <v>0</v>
      </c>
      <c r="AE193" s="185">
        <v>11</v>
      </c>
      <c r="AF193" s="1">
        <f>AE193*Weightings!$M$9</f>
        <v>0.5</v>
      </c>
      <c r="AG193" s="1">
        <f>IF(ISNA(VLOOKUP($CZ193,'Audit Values'!$A$2:$AE$439,2,FALSE)),'Preliminary SO66'!L190,VLOOKUP($CZ193,'Audit Values'!$A$2:$AE$439,12,FALSE))</f>
        <v>0</v>
      </c>
      <c r="AH193" s="1">
        <f>ROUND(AG193*Weightings!$M$10,1)</f>
        <v>0</v>
      </c>
      <c r="AI193" s="1">
        <f>IF(ISNA(VLOOKUP($CZ193,'Audit Values'!$A$2:$AE$439,2,FALSE)),'Preliminary SO66'!O190,VLOOKUP($CZ193,'Audit Values'!$A$2:$AE$439,15,FALSE))</f>
        <v>42</v>
      </c>
      <c r="AJ193" s="1">
        <f t="shared" si="210"/>
        <v>18.5</v>
      </c>
      <c r="AK193" s="1">
        <f>CC193/Weightings!$M$5</f>
        <v>0</v>
      </c>
      <c r="AL193" s="1">
        <f>CD193/Weightings!$M$5</f>
        <v>0</v>
      </c>
      <c r="AM193" s="1">
        <f>CH193/Weightings!$M$5</f>
        <v>0</v>
      </c>
      <c r="AN193" s="1">
        <f t="shared" si="211"/>
        <v>0</v>
      </c>
      <c r="AO193" s="1">
        <f>IF(ISNA(VLOOKUP($CZ193,'Audit Values'!$A$2:$AE$439,2,FALSE)),'Preliminary SO66'!X190,VLOOKUP($CZ193,'Audit Values'!$A$2:$AE$439,24,FALSE))</f>
        <v>0</v>
      </c>
      <c r="AP193" s="188">
        <v>171987</v>
      </c>
      <c r="AQ193" s="113">
        <f>AP193/Weightings!$M$5</f>
        <v>44.8</v>
      </c>
      <c r="AR193" s="113">
        <f t="shared" si="212"/>
        <v>313.3</v>
      </c>
      <c r="AS193" s="1">
        <f t="shared" si="213"/>
        <v>358.1</v>
      </c>
      <c r="AT193" s="1">
        <f t="shared" si="214"/>
        <v>358.1</v>
      </c>
      <c r="AU193" s="2">
        <f t="shared" si="231"/>
        <v>0</v>
      </c>
      <c r="AV193" s="82">
        <f>IF(ISNA(VLOOKUP($CZ193,'Audit Values'!$A$2:$AC$360,2,FALSE)),"",IF(AND(Weightings!H193&gt;0,VLOOKUP($CZ193,'Audit Values'!$A$2:$AC$360,29,FALSE)&lt;Weightings!H193),Weightings!H193,VLOOKUP($CZ193,'Audit Values'!$A$2:$AC$360,29,FALSE)))</f>
        <v>26</v>
      </c>
      <c r="AW193" s="82" t="str">
        <f>IF(ISNA(VLOOKUP($CZ193,'Audit Values'!$A$2:$AD$360,2,FALSE)),"",VLOOKUP($CZ193,'Audit Values'!$A$2:$AD$360,30,FALSE))</f>
        <v>A</v>
      </c>
      <c r="AX193" s="82" t="str">
        <f>IF(Weightings!G193="","",IF(Weightings!I193="Pending","PX","R"))</f>
        <v/>
      </c>
      <c r="AY193" s="114">
        <f>AR193*Weightings!$M$5+AU193</f>
        <v>1202445</v>
      </c>
      <c r="AZ193" s="2">
        <f>AT193*Weightings!$M$5+AU193</f>
        <v>1374388</v>
      </c>
      <c r="BA193" s="2">
        <f>IF(Weightings!G193&gt;0,Weightings!G193,'Preliminary SO66'!AB190)</f>
        <v>1440785</v>
      </c>
      <c r="BB193" s="2">
        <f t="shared" si="215"/>
        <v>1374388</v>
      </c>
      <c r="BC193" s="124"/>
      <c r="BD193" s="124">
        <f>Weightings!E193</f>
        <v>0</v>
      </c>
      <c r="BE193" s="124">
        <f>Weightings!F193</f>
        <v>0</v>
      </c>
      <c r="BF193" s="2">
        <f t="shared" si="216"/>
        <v>0</v>
      </c>
      <c r="BG193" s="2">
        <f t="shared" si="217"/>
        <v>1374388</v>
      </c>
      <c r="BH193" s="2">
        <f>MAX(ROUND(((AR193-AO193)*4433)+AP193,0),ROUND(((AR193-AO193)*4433)+Weightings!B193,0))</f>
        <v>1562429</v>
      </c>
      <c r="BI193" s="174">
        <v>0.3</v>
      </c>
      <c r="BJ193" s="2">
        <f t="shared" si="245"/>
        <v>468729</v>
      </c>
      <c r="BK193" s="173">
        <v>490523</v>
      </c>
      <c r="BL193" s="2">
        <f t="shared" si="246"/>
        <v>468729</v>
      </c>
      <c r="BM193" s="3">
        <f t="shared" si="232"/>
        <v>0.3</v>
      </c>
      <c r="BN193" s="1">
        <f t="shared" si="218"/>
        <v>0</v>
      </c>
      <c r="BO193" s="4" t="b">
        <f t="shared" si="219"/>
        <v>1</v>
      </c>
      <c r="BP193" s="5">
        <f t="shared" si="220"/>
        <v>405.51</v>
      </c>
      <c r="BQ193" s="6">
        <f t="shared" si="247"/>
        <v>0.90300100000000005</v>
      </c>
      <c r="BR193" s="4">
        <f t="shared" si="221"/>
        <v>128.19999999999999</v>
      </c>
      <c r="BS193" s="4" t="b">
        <f t="shared" si="222"/>
        <v>0</v>
      </c>
      <c r="BT193" s="4">
        <f t="shared" si="223"/>
        <v>0</v>
      </c>
      <c r="BU193" s="6">
        <f t="shared" si="248"/>
        <v>0</v>
      </c>
      <c r="BV193" s="1">
        <f t="shared" si="224"/>
        <v>0</v>
      </c>
      <c r="BW193" s="1">
        <f t="shared" si="225"/>
        <v>0</v>
      </c>
      <c r="BX193" s="116">
        <v>439</v>
      </c>
      <c r="BY193" s="7">
        <f t="shared" si="233"/>
        <v>0.1</v>
      </c>
      <c r="BZ193" s="7">
        <f>IF(ROUND((Weightings!$P$5*BY193^Weightings!$P$6*Weightings!$P$8 ),2)&lt;Weightings!$P$7,Weightings!$P$7,ROUND((Weightings!$P$5*BY193^Weightings!$P$6*Weightings!$P$8 ),2))</f>
        <v>1694.63</v>
      </c>
      <c r="CA193" s="8">
        <f>ROUND(BZ193/Weightings!$M$5,4)</f>
        <v>0.4415</v>
      </c>
      <c r="CB193" s="1">
        <f t="shared" si="234"/>
        <v>18.5</v>
      </c>
      <c r="CC193" s="173">
        <v>0</v>
      </c>
      <c r="CD193" s="173">
        <v>0</v>
      </c>
      <c r="CE193" s="173">
        <v>0</v>
      </c>
      <c r="CF193" s="177">
        <v>0</v>
      </c>
      <c r="CG193" s="2">
        <f>AS193*Weightings!$M$5*CF193</f>
        <v>0</v>
      </c>
      <c r="CH193" s="2">
        <f t="shared" si="250"/>
        <v>0</v>
      </c>
      <c r="CI193" s="117">
        <f t="shared" si="226"/>
        <v>0.28199999999999997</v>
      </c>
      <c r="CJ193" s="4">
        <f t="shared" si="227"/>
        <v>0.3</v>
      </c>
      <c r="CK193" s="1">
        <f t="shared" si="235"/>
        <v>0</v>
      </c>
      <c r="CL193" s="1">
        <f t="shared" si="236"/>
        <v>0</v>
      </c>
      <c r="CM193" s="1">
        <f t="shared" si="237"/>
        <v>0</v>
      </c>
      <c r="CN193" s="1">
        <f>IF(ISNA(VLOOKUP($CZ193,'Audit Values'!$A$2:$AE$439,2,FALSE)),'Preliminary SO66'!T190,VLOOKUP($CZ193,'Audit Values'!$A$2:$AE$439,20,FALSE))</f>
        <v>0</v>
      </c>
      <c r="CO193" s="1">
        <f t="shared" si="228"/>
        <v>0</v>
      </c>
      <c r="CP193" s="183">
        <v>0</v>
      </c>
      <c r="CQ193" s="1">
        <f t="shared" si="229"/>
        <v>0</v>
      </c>
      <c r="CR193" s="2">
        <f>IF(ISNA(VLOOKUP($CZ193,'Audit Values'!$A$2:$AE$439,2,FALSE)),'Preliminary SO66'!V190,VLOOKUP($CZ193,'Audit Values'!$A$2:$AE$439,22,FALSE))</f>
        <v>0</v>
      </c>
      <c r="CS193" s="1">
        <f t="shared" si="230"/>
        <v>0</v>
      </c>
      <c r="CT193" s="2">
        <f>IF(ISNA(VLOOKUP($CZ193,'Audit Values'!$A$2:$AE$439,2,FALSE)),'Preliminary SO66'!W190,VLOOKUP($CZ193,'Audit Values'!$A$2:$AE$439,23,FALSE))</f>
        <v>0</v>
      </c>
      <c r="CU193" s="1">
        <f t="shared" si="243"/>
        <v>0</v>
      </c>
      <c r="CV193" s="1">
        <f t="shared" si="244"/>
        <v>0</v>
      </c>
      <c r="CW193" s="176">
        <v>0</v>
      </c>
      <c r="CX193" s="2">
        <f>IF(CW193&gt;0,Weightings!$M$11*AR193,0)</f>
        <v>0</v>
      </c>
      <c r="CY193" s="2">
        <f t="shared" si="238"/>
        <v>0</v>
      </c>
      <c r="CZ193" s="108" t="s">
        <v>485</v>
      </c>
    </row>
    <row r="194" spans="1:104">
      <c r="A194" s="82">
        <v>400</v>
      </c>
      <c r="B194" s="4" t="s">
        <v>93</v>
      </c>
      <c r="C194" s="4" t="s">
        <v>820</v>
      </c>
      <c r="D194" s="1">
        <v>922.7</v>
      </c>
      <c r="E194" s="1">
        <v>0</v>
      </c>
      <c r="F194" s="1">
        <f t="shared" si="240"/>
        <v>922.7</v>
      </c>
      <c r="G194" s="1">
        <v>861.7</v>
      </c>
      <c r="H194" s="1">
        <v>0</v>
      </c>
      <c r="I194" s="1">
        <f t="shared" si="201"/>
        <v>861.7</v>
      </c>
      <c r="J194" s="1">
        <f t="shared" si="202"/>
        <v>938.8</v>
      </c>
      <c r="K194" s="1">
        <f>IF(ISNA(VLOOKUP($CZ194,'Audit Values'!$A$2:$AE$439,2,FALSE)),'Preliminary SO66'!B191,VLOOKUP($CZ194,'Audit Values'!$A$2:$AE$439,31,FALSE))</f>
        <v>857.2</v>
      </c>
      <c r="L194" s="1">
        <f t="shared" si="203"/>
        <v>880.5</v>
      </c>
      <c r="M194" s="1">
        <f>IF(ISNA(VLOOKUP($CZ194,'Audit Values'!$A$2:$AE$439,2,FALSE)),'Preliminary SO66'!Z191,VLOOKUP($CZ194,'Audit Values'!$A$2:$AE$439,26,FALSE))</f>
        <v>0</v>
      </c>
      <c r="N194" s="1">
        <f t="shared" si="204"/>
        <v>880.5</v>
      </c>
      <c r="O194" s="1">
        <f>IF(ISNA(VLOOKUP($CZ194,'Audit Values'!$A$2:$AE$439,2,FALSE)),'Preliminary SO66'!C191,IF(VLOOKUP($CZ194,'Audit Values'!$A$2:$AE$439,28,FALSE)="",VLOOKUP($CZ194,'Audit Values'!$A$2:$AE$439,3,FALSE),VLOOKUP($CZ194,'Audit Values'!$A$2:$AE$439,28,FALSE)))</f>
        <v>12</v>
      </c>
      <c r="P194" s="109">
        <f t="shared" si="205"/>
        <v>869.2</v>
      </c>
      <c r="Q194" s="110">
        <f t="shared" si="206"/>
        <v>950.8</v>
      </c>
      <c r="R194" s="111">
        <f t="shared" si="207"/>
        <v>950.8</v>
      </c>
      <c r="S194" s="1">
        <f t="shared" si="208"/>
        <v>892.5</v>
      </c>
      <c r="T194" s="1">
        <f t="shared" si="239"/>
        <v>81.599999999999994</v>
      </c>
      <c r="U194" s="1">
        <f t="shared" si="209"/>
        <v>252.5</v>
      </c>
      <c r="V194" s="1">
        <f t="shared" si="251"/>
        <v>252.5</v>
      </c>
      <c r="W194" s="1">
        <f t="shared" si="252"/>
        <v>0</v>
      </c>
      <c r="X194" s="1">
        <f>IF(ISNA(VLOOKUP($CZ194,'Audit Values'!$A$2:$AE$439,2,FALSE)),'Preliminary SO66'!D191,VLOOKUP($CZ194,'Audit Values'!$A$2:$AE$439,4,FALSE))</f>
        <v>214.3</v>
      </c>
      <c r="Y194" s="1">
        <f>ROUND((X194/6)*Weightings!$M$6,1)</f>
        <v>17.899999999999999</v>
      </c>
      <c r="Z194" s="1">
        <f>IF(ISNA(VLOOKUP($CZ194,'Audit Values'!$A$2:$AE$439,2,FALSE)),'Preliminary SO66'!F191,VLOOKUP($CZ194,'Audit Values'!$A$2:$AE$439,6,FALSE))</f>
        <v>1.7</v>
      </c>
      <c r="AA194" s="1">
        <f>ROUND((Z194/6)*Weightings!$M$7,1)</f>
        <v>0.1</v>
      </c>
      <c r="AB194" s="2">
        <f>IF(ISNA(VLOOKUP($CZ194,'Audit Values'!$A$2:$AE$439,2,FALSE)),'Preliminary SO66'!H191,VLOOKUP($CZ194,'Audit Values'!$A$2:$AE$439,8,FALSE))</f>
        <v>212</v>
      </c>
      <c r="AC194" s="1">
        <f>ROUND(AB194*Weightings!$M$8,1)</f>
        <v>96.7</v>
      </c>
      <c r="AD194" s="1">
        <f t="shared" si="249"/>
        <v>0</v>
      </c>
      <c r="AE194" s="185">
        <v>51</v>
      </c>
      <c r="AF194" s="1">
        <f>AE194*Weightings!$M$9</f>
        <v>2.4</v>
      </c>
      <c r="AG194" s="1">
        <f>IF(ISNA(VLOOKUP($CZ194,'Audit Values'!$A$2:$AE$439,2,FALSE)),'Preliminary SO66'!L191,VLOOKUP($CZ194,'Audit Values'!$A$2:$AE$439,12,FALSE))</f>
        <v>0</v>
      </c>
      <c r="AH194" s="1">
        <f>ROUND(AG194*Weightings!$M$10,1)</f>
        <v>0</v>
      </c>
      <c r="AI194" s="1">
        <f>IF(ISNA(VLOOKUP($CZ194,'Audit Values'!$A$2:$AE$439,2,FALSE)),'Preliminary SO66'!O191,VLOOKUP($CZ194,'Audit Values'!$A$2:$AE$439,15,FALSE))</f>
        <v>293</v>
      </c>
      <c r="AJ194" s="1">
        <f t="shared" si="210"/>
        <v>82</v>
      </c>
      <c r="AK194" s="1">
        <f>CC194/Weightings!$M$5</f>
        <v>0</v>
      </c>
      <c r="AL194" s="1">
        <f>CD194/Weightings!$M$5</f>
        <v>0</v>
      </c>
      <c r="AM194" s="1">
        <f>CH194/Weightings!$M$5</f>
        <v>0</v>
      </c>
      <c r="AN194" s="1">
        <f t="shared" si="211"/>
        <v>86.7</v>
      </c>
      <c r="AO194" s="1">
        <f>IF(ISNA(VLOOKUP($CZ194,'Audit Values'!$A$2:$AE$439,2,FALSE)),'Preliminary SO66'!X191,VLOOKUP($CZ194,'Audit Values'!$A$2:$AE$439,24,FALSE))</f>
        <v>0</v>
      </c>
      <c r="AP194" s="188">
        <v>1064367</v>
      </c>
      <c r="AQ194" s="113">
        <f>AP194/Weightings!$M$5</f>
        <v>277.3</v>
      </c>
      <c r="AR194" s="113">
        <f t="shared" si="212"/>
        <v>1430.8</v>
      </c>
      <c r="AS194" s="1">
        <f t="shared" si="213"/>
        <v>1708.1</v>
      </c>
      <c r="AT194" s="1">
        <f t="shared" si="214"/>
        <v>1708.1</v>
      </c>
      <c r="AU194" s="2">
        <f t="shared" si="231"/>
        <v>91000</v>
      </c>
      <c r="AV194" s="82">
        <f>IF(ISNA(VLOOKUP($CZ194,'Audit Values'!$A$2:$AC$360,2,FALSE)),"",IF(AND(Weightings!H194&gt;0,VLOOKUP($CZ194,'Audit Values'!$A$2:$AC$360,29,FALSE)&lt;Weightings!H194),Weightings!H194,VLOOKUP($CZ194,'Audit Values'!$A$2:$AC$360,29,FALSE)))</f>
        <v>26</v>
      </c>
      <c r="AW194" s="82" t="str">
        <f>IF(ISNA(VLOOKUP($CZ194,'Audit Values'!$A$2:$AD$360,2,FALSE)),"",VLOOKUP($CZ194,'Audit Values'!$A$2:$AD$360,30,FALSE))</f>
        <v>A</v>
      </c>
      <c r="AX194" s="82" t="str">
        <f>IF(Weightings!G194="","",IF(Weightings!I194="Pending","PX","R"))</f>
        <v/>
      </c>
      <c r="AY194" s="114">
        <f>AR194*Weightings!$M$5+AU194</f>
        <v>5582410</v>
      </c>
      <c r="AZ194" s="2">
        <f>AT194*Weightings!$M$5+AU194</f>
        <v>6646688</v>
      </c>
      <c r="BA194" s="2">
        <f>IF(Weightings!G194&gt;0,Weightings!G194,'Preliminary SO66'!AB191)</f>
        <v>6695860</v>
      </c>
      <c r="BB194" s="2">
        <f t="shared" si="215"/>
        <v>6646688</v>
      </c>
      <c r="BC194" s="124"/>
      <c r="BD194" s="124">
        <f>Weightings!E194</f>
        <v>0</v>
      </c>
      <c r="BE194" s="124">
        <f>Weightings!F194</f>
        <v>0</v>
      </c>
      <c r="BF194" s="2">
        <f t="shared" si="216"/>
        <v>0</v>
      </c>
      <c r="BG194" s="2">
        <f t="shared" si="217"/>
        <v>6646688</v>
      </c>
      <c r="BH194" s="2">
        <f>MAX(ROUND(((AR194-AO194)*4433)+AP194,0),ROUND(((AR194-AO194)*4433)+Weightings!B194,0))</f>
        <v>7407103</v>
      </c>
      <c r="BI194" s="174">
        <v>0.31</v>
      </c>
      <c r="BJ194" s="2">
        <f t="shared" si="245"/>
        <v>2296202</v>
      </c>
      <c r="BK194" s="173">
        <v>2324754</v>
      </c>
      <c r="BL194" s="2">
        <f t="shared" si="246"/>
        <v>2296202</v>
      </c>
      <c r="BM194" s="3">
        <f t="shared" si="232"/>
        <v>0.31</v>
      </c>
      <c r="BN194" s="1">
        <f t="shared" si="218"/>
        <v>0</v>
      </c>
      <c r="BO194" s="4" t="b">
        <f t="shared" si="219"/>
        <v>0</v>
      </c>
      <c r="BP194" s="5">
        <f t="shared" si="220"/>
        <v>0</v>
      </c>
      <c r="BQ194" s="6">
        <f t="shared" si="247"/>
        <v>0</v>
      </c>
      <c r="BR194" s="4">
        <f t="shared" si="221"/>
        <v>0</v>
      </c>
      <c r="BS194" s="4" t="b">
        <f t="shared" si="222"/>
        <v>1</v>
      </c>
      <c r="BT194" s="4">
        <f t="shared" si="223"/>
        <v>733.21879999999999</v>
      </c>
      <c r="BU194" s="6">
        <f t="shared" si="248"/>
        <v>0.282885</v>
      </c>
      <c r="BV194" s="1">
        <f t="shared" si="224"/>
        <v>252.5</v>
      </c>
      <c r="BW194" s="1">
        <f t="shared" si="225"/>
        <v>0</v>
      </c>
      <c r="BX194" s="116">
        <v>395.5</v>
      </c>
      <c r="BY194" s="7">
        <f t="shared" si="233"/>
        <v>0.74</v>
      </c>
      <c r="BZ194" s="7">
        <f>IF(ROUND((Weightings!$P$5*BY194^Weightings!$P$6*Weightings!$P$8 ),2)&lt;Weightings!$P$7,Weightings!$P$7,ROUND((Weightings!$P$5*BY194^Weightings!$P$6*Weightings!$P$8 ),2))</f>
        <v>1073.5</v>
      </c>
      <c r="CA194" s="8">
        <f>ROUND(BZ194/Weightings!$M$5,4)</f>
        <v>0.2797</v>
      </c>
      <c r="CB194" s="1">
        <f t="shared" si="234"/>
        <v>82</v>
      </c>
      <c r="CC194" s="173">
        <v>0</v>
      </c>
      <c r="CD194" s="173">
        <v>0</v>
      </c>
      <c r="CE194" s="173">
        <v>0</v>
      </c>
      <c r="CF194" s="177">
        <v>0</v>
      </c>
      <c r="CG194" s="2">
        <f>AS194*Weightings!$M$5*CF194</f>
        <v>0</v>
      </c>
      <c r="CH194" s="2">
        <f t="shared" si="250"/>
        <v>0</v>
      </c>
      <c r="CI194" s="117">
        <f t="shared" si="226"/>
        <v>0.23799999999999999</v>
      </c>
      <c r="CJ194" s="4">
        <f t="shared" si="227"/>
        <v>2.2999999999999998</v>
      </c>
      <c r="CK194" s="1">
        <f t="shared" si="235"/>
        <v>0</v>
      </c>
      <c r="CL194" s="1">
        <f t="shared" si="236"/>
        <v>0</v>
      </c>
      <c r="CM194" s="1">
        <f t="shared" si="237"/>
        <v>0</v>
      </c>
      <c r="CN194" s="1">
        <f>IF(ISNA(VLOOKUP($CZ194,'Audit Values'!$A$2:$AE$439,2,FALSE)),'Preliminary SO66'!T191,VLOOKUP($CZ194,'Audit Values'!$A$2:$AE$439,20,FALSE))</f>
        <v>81.599999999999994</v>
      </c>
      <c r="CO194" s="1">
        <f t="shared" si="228"/>
        <v>85.7</v>
      </c>
      <c r="CP194" s="181">
        <v>4</v>
      </c>
      <c r="CQ194" s="1">
        <f t="shared" si="229"/>
        <v>1</v>
      </c>
      <c r="CR194" s="2">
        <f>IF(ISNA(VLOOKUP($CZ194,'Audit Values'!$A$2:$AE$439,2,FALSE)),'Preliminary SO66'!V191,VLOOKUP($CZ194,'Audit Values'!$A$2:$AE$439,22,FALSE))</f>
        <v>0</v>
      </c>
      <c r="CS194" s="1">
        <f t="shared" si="230"/>
        <v>0</v>
      </c>
      <c r="CT194" s="2">
        <f>IF(ISNA(VLOOKUP($CZ194,'Audit Values'!$A$2:$AE$439,2,FALSE)),'Preliminary SO66'!W191,VLOOKUP($CZ194,'Audit Values'!$A$2:$AE$439,23,FALSE))</f>
        <v>0</v>
      </c>
      <c r="CU194" s="1">
        <f t="shared" si="243"/>
        <v>0</v>
      </c>
      <c r="CV194" s="1">
        <f t="shared" si="244"/>
        <v>86.7</v>
      </c>
      <c r="CW194" s="176">
        <v>91000</v>
      </c>
      <c r="CX194" s="2">
        <f>IF(CW194&gt;0,Weightings!$M$11*AR194,0)</f>
        <v>357700</v>
      </c>
      <c r="CY194" s="2">
        <f t="shared" si="238"/>
        <v>91000</v>
      </c>
      <c r="CZ194" s="108" t="s">
        <v>486</v>
      </c>
    </row>
    <row r="195" spans="1:104">
      <c r="A195" s="82">
        <v>401</v>
      </c>
      <c r="B195" s="4" t="s">
        <v>78</v>
      </c>
      <c r="C195" s="4" t="s">
        <v>821</v>
      </c>
      <c r="D195" s="1">
        <v>145</v>
      </c>
      <c r="E195" s="1">
        <v>0</v>
      </c>
      <c r="F195" s="1">
        <f t="shared" si="240"/>
        <v>145</v>
      </c>
      <c r="G195" s="1">
        <v>146</v>
      </c>
      <c r="H195" s="1">
        <v>0</v>
      </c>
      <c r="I195" s="1">
        <f t="shared" si="201"/>
        <v>146</v>
      </c>
      <c r="J195" s="1">
        <f t="shared" si="202"/>
        <v>158</v>
      </c>
      <c r="K195" s="1">
        <f>IF(ISNA(VLOOKUP($CZ195,'Audit Values'!$A$2:$AE$439,2,FALSE)),'Preliminary SO66'!B192,VLOOKUP($CZ195,'Audit Values'!$A$2:$AE$439,31,FALSE))</f>
        <v>158</v>
      </c>
      <c r="L195" s="1">
        <f t="shared" si="203"/>
        <v>158</v>
      </c>
      <c r="M195" s="1">
        <f>IF(ISNA(VLOOKUP($CZ195,'Audit Values'!$A$2:$AE$439,2,FALSE)),'Preliminary SO66'!Z192,VLOOKUP($CZ195,'Audit Values'!$A$2:$AE$439,26,FALSE))</f>
        <v>0</v>
      </c>
      <c r="N195" s="1">
        <f t="shared" si="204"/>
        <v>158</v>
      </c>
      <c r="O195" s="1">
        <f>IF(ISNA(VLOOKUP($CZ195,'Audit Values'!$A$2:$AE$439,2,FALSE)),'Preliminary SO66'!C192,IF(VLOOKUP($CZ195,'Audit Values'!$A$2:$AE$439,28,FALSE)="",VLOOKUP($CZ195,'Audit Values'!$A$2:$AE$439,3,FALSE),VLOOKUP($CZ195,'Audit Values'!$A$2:$AE$439,28,FALSE)))</f>
        <v>4</v>
      </c>
      <c r="P195" s="109">
        <f t="shared" si="205"/>
        <v>162</v>
      </c>
      <c r="Q195" s="110">
        <f t="shared" si="206"/>
        <v>162</v>
      </c>
      <c r="R195" s="111">
        <f t="shared" si="207"/>
        <v>162</v>
      </c>
      <c r="S195" s="1">
        <f t="shared" si="208"/>
        <v>162</v>
      </c>
      <c r="T195" s="1">
        <f t="shared" si="239"/>
        <v>0</v>
      </c>
      <c r="U195" s="1">
        <f t="shared" si="209"/>
        <v>137.69999999999999</v>
      </c>
      <c r="V195" s="1">
        <f t="shared" si="251"/>
        <v>137.69999999999999</v>
      </c>
      <c r="W195" s="1">
        <f t="shared" si="252"/>
        <v>0</v>
      </c>
      <c r="X195" s="1">
        <f>IF(ISNA(VLOOKUP($CZ195,'Audit Values'!$A$2:$AE$439,2,FALSE)),'Preliminary SO66'!D192,VLOOKUP($CZ195,'Audit Values'!$A$2:$AE$439,4,FALSE))</f>
        <v>31.4</v>
      </c>
      <c r="Y195" s="1">
        <f>ROUND((X195/6)*Weightings!$M$6,1)</f>
        <v>2.6</v>
      </c>
      <c r="Z195" s="1">
        <f>IF(ISNA(VLOOKUP($CZ195,'Audit Values'!$A$2:$AE$439,2,FALSE)),'Preliminary SO66'!F192,VLOOKUP($CZ195,'Audit Values'!$A$2:$AE$439,6,FALSE))</f>
        <v>2.7</v>
      </c>
      <c r="AA195" s="1">
        <f>ROUND((Z195/6)*Weightings!$M$7,1)</f>
        <v>0.2</v>
      </c>
      <c r="AB195" s="2">
        <f>IF(ISNA(VLOOKUP($CZ195,'Audit Values'!$A$2:$AE$439,2,FALSE)),'Preliminary SO66'!H192,VLOOKUP($CZ195,'Audit Values'!$A$2:$AE$439,8,FALSE))</f>
        <v>112</v>
      </c>
      <c r="AC195" s="1">
        <f>ROUND(AB195*Weightings!$M$8,1)</f>
        <v>51.1</v>
      </c>
      <c r="AD195" s="1">
        <f t="shared" si="249"/>
        <v>11.8</v>
      </c>
      <c r="AE195" s="185">
        <v>10</v>
      </c>
      <c r="AF195" s="1">
        <f>AE195*Weightings!$M$9</f>
        <v>0.5</v>
      </c>
      <c r="AG195" s="1">
        <f>IF(ISNA(VLOOKUP($CZ195,'Audit Values'!$A$2:$AE$439,2,FALSE)),'Preliminary SO66'!L192,VLOOKUP($CZ195,'Audit Values'!$A$2:$AE$439,12,FALSE))</f>
        <v>0</v>
      </c>
      <c r="AH195" s="1">
        <f>ROUND(AG195*Weightings!$M$10,1)</f>
        <v>0</v>
      </c>
      <c r="AI195" s="1">
        <f>IF(ISNA(VLOOKUP($CZ195,'Audit Values'!$A$2:$AE$439,2,FALSE)),'Preliminary SO66'!O192,VLOOKUP($CZ195,'Audit Values'!$A$2:$AE$439,15,FALSE))</f>
        <v>37</v>
      </c>
      <c r="AJ195" s="1">
        <f t="shared" si="210"/>
        <v>14.1</v>
      </c>
      <c r="AK195" s="1">
        <f>CC195/Weightings!$M$5</f>
        <v>0</v>
      </c>
      <c r="AL195" s="1">
        <f>CD195/Weightings!$M$5</f>
        <v>0</v>
      </c>
      <c r="AM195" s="1">
        <f>CH195/Weightings!$M$5</f>
        <v>0</v>
      </c>
      <c r="AN195" s="1">
        <f t="shared" si="211"/>
        <v>0</v>
      </c>
      <c r="AO195" s="1">
        <f>IF(ISNA(VLOOKUP($CZ195,'Audit Values'!$A$2:$AE$439,2,FALSE)),'Preliminary SO66'!X192,VLOOKUP($CZ195,'Audit Values'!$A$2:$AE$439,24,FALSE))</f>
        <v>0</v>
      </c>
      <c r="AP195" s="188">
        <v>180001</v>
      </c>
      <c r="AQ195" s="113">
        <f>AP195/Weightings!$M$5</f>
        <v>46.9</v>
      </c>
      <c r="AR195" s="113">
        <f t="shared" si="212"/>
        <v>380</v>
      </c>
      <c r="AS195" s="1">
        <f t="shared" si="213"/>
        <v>426.9</v>
      </c>
      <c r="AT195" s="1">
        <f t="shared" si="214"/>
        <v>426.9</v>
      </c>
      <c r="AU195" s="2">
        <f t="shared" si="231"/>
        <v>0</v>
      </c>
      <c r="AV195" s="82">
        <f>IF(ISNA(VLOOKUP($CZ195,'Audit Values'!$A$2:$AC$360,2,FALSE)),"",IF(AND(Weightings!H195&gt;0,VLOOKUP($CZ195,'Audit Values'!$A$2:$AC$360,29,FALSE)&lt;Weightings!H195),Weightings!H195,VLOOKUP($CZ195,'Audit Values'!$A$2:$AC$360,29,FALSE)))</f>
        <v>31</v>
      </c>
      <c r="AW195" s="82" t="str">
        <f>IF(ISNA(VLOOKUP($CZ195,'Audit Values'!$A$2:$AD$360,2,FALSE)),"",VLOOKUP($CZ195,'Audit Values'!$A$2:$AD$360,30,FALSE))</f>
        <v>A</v>
      </c>
      <c r="AX195" s="82" t="str">
        <f>IF(Weightings!G195="","",IF(Weightings!I195="Pending","PX","R"))</f>
        <v>R</v>
      </c>
      <c r="AY195" s="114">
        <f>AR195*Weightings!$M$5+AU195</f>
        <v>1458440</v>
      </c>
      <c r="AZ195" s="2">
        <f>AT195*Weightings!$M$5+AU195</f>
        <v>1638442</v>
      </c>
      <c r="BA195" s="2">
        <f>IF(Weightings!G195&gt;0,Weightings!G195,'Preliminary SO66'!AB192)</f>
        <v>1644967</v>
      </c>
      <c r="BB195" s="2">
        <f t="shared" si="215"/>
        <v>1638442</v>
      </c>
      <c r="BC195" s="124"/>
      <c r="BD195" s="124">
        <f>Weightings!E195</f>
        <v>0</v>
      </c>
      <c r="BE195" s="124">
        <f>Weightings!F195</f>
        <v>0</v>
      </c>
      <c r="BF195" s="2">
        <f t="shared" si="216"/>
        <v>0</v>
      </c>
      <c r="BG195" s="2">
        <f t="shared" si="217"/>
        <v>1638442</v>
      </c>
      <c r="BH195" s="2">
        <f>MAX(ROUND(((AR195-AO195)*4433)+AP195,0),ROUND(((AR195-AO195)*4433)+Weightings!B195,0))</f>
        <v>1864541</v>
      </c>
      <c r="BI195" s="174">
        <v>0.3</v>
      </c>
      <c r="BJ195" s="2">
        <f t="shared" si="245"/>
        <v>559362</v>
      </c>
      <c r="BK195" s="173">
        <v>537155</v>
      </c>
      <c r="BL195" s="2">
        <f t="shared" si="246"/>
        <v>537155</v>
      </c>
      <c r="BM195" s="3">
        <f t="shared" si="232"/>
        <v>0.28810000000000002</v>
      </c>
      <c r="BN195" s="1">
        <f t="shared" si="218"/>
        <v>0</v>
      </c>
      <c r="BO195" s="4" t="b">
        <f t="shared" si="219"/>
        <v>1</v>
      </c>
      <c r="BP195" s="5">
        <f t="shared" si="220"/>
        <v>598.61</v>
      </c>
      <c r="BQ195" s="6">
        <f t="shared" si="247"/>
        <v>0.84998600000000002</v>
      </c>
      <c r="BR195" s="4">
        <f t="shared" si="221"/>
        <v>137.69999999999999</v>
      </c>
      <c r="BS195" s="4" t="b">
        <f t="shared" si="222"/>
        <v>0</v>
      </c>
      <c r="BT195" s="4">
        <f t="shared" si="223"/>
        <v>0</v>
      </c>
      <c r="BU195" s="6">
        <f t="shared" si="248"/>
        <v>0</v>
      </c>
      <c r="BV195" s="1">
        <f t="shared" si="224"/>
        <v>0</v>
      </c>
      <c r="BW195" s="1">
        <f t="shared" si="225"/>
        <v>0</v>
      </c>
      <c r="BX195" s="116">
        <v>196</v>
      </c>
      <c r="BY195" s="7">
        <f t="shared" si="233"/>
        <v>0.19</v>
      </c>
      <c r="BZ195" s="7">
        <f>IF(ROUND((Weightings!$P$5*BY195^Weightings!$P$6*Weightings!$P$8 ),2)&lt;Weightings!$P$7,Weightings!$P$7,ROUND((Weightings!$P$5*BY195^Weightings!$P$6*Weightings!$P$8 ),2))</f>
        <v>1463.83</v>
      </c>
      <c r="CA195" s="8">
        <f>ROUND(BZ195/Weightings!$M$5,4)</f>
        <v>0.38140000000000002</v>
      </c>
      <c r="CB195" s="1">
        <f t="shared" si="234"/>
        <v>14.1</v>
      </c>
      <c r="CC195" s="173">
        <v>0</v>
      </c>
      <c r="CD195" s="173">
        <v>0</v>
      </c>
      <c r="CE195" s="173">
        <v>0</v>
      </c>
      <c r="CF195" s="177">
        <v>0</v>
      </c>
      <c r="CG195" s="2">
        <f>AS195*Weightings!$M$5*CF195</f>
        <v>0</v>
      </c>
      <c r="CH195" s="2">
        <f t="shared" si="250"/>
        <v>0</v>
      </c>
      <c r="CI195" s="117">
        <f t="shared" si="226"/>
        <v>0.69099999999999995</v>
      </c>
      <c r="CJ195" s="4">
        <f t="shared" si="227"/>
        <v>0.8</v>
      </c>
      <c r="CK195" s="1">
        <f t="shared" si="235"/>
        <v>11.8</v>
      </c>
      <c r="CL195" s="1">
        <f t="shared" si="236"/>
        <v>0</v>
      </c>
      <c r="CM195" s="1">
        <f t="shared" si="237"/>
        <v>0</v>
      </c>
      <c r="CN195" s="1">
        <f>IF(ISNA(VLOOKUP($CZ195,'Audit Values'!$A$2:$AE$439,2,FALSE)),'Preliminary SO66'!T192,VLOOKUP($CZ195,'Audit Values'!$A$2:$AE$439,20,FALSE))</f>
        <v>0</v>
      </c>
      <c r="CO195" s="1">
        <f t="shared" si="228"/>
        <v>0</v>
      </c>
      <c r="CP195" s="183">
        <v>0</v>
      </c>
      <c r="CQ195" s="1">
        <f t="shared" si="229"/>
        <v>0</v>
      </c>
      <c r="CR195" s="2">
        <f>IF(ISNA(VLOOKUP($CZ195,'Audit Values'!$A$2:$AE$439,2,FALSE)),'Preliminary SO66'!V192,VLOOKUP($CZ195,'Audit Values'!$A$2:$AE$439,22,FALSE))</f>
        <v>0</v>
      </c>
      <c r="CS195" s="1">
        <f t="shared" si="230"/>
        <v>0</v>
      </c>
      <c r="CT195" s="2">
        <f>IF(ISNA(VLOOKUP($CZ195,'Audit Values'!$A$2:$AE$439,2,FALSE)),'Preliminary SO66'!W192,VLOOKUP($CZ195,'Audit Values'!$A$2:$AE$439,23,FALSE))</f>
        <v>0</v>
      </c>
      <c r="CU195" s="1">
        <f t="shared" si="243"/>
        <v>0</v>
      </c>
      <c r="CV195" s="1">
        <f t="shared" si="244"/>
        <v>0</v>
      </c>
      <c r="CW195" s="176">
        <v>0</v>
      </c>
      <c r="CX195" s="2">
        <f>IF(CW195&gt;0,Weightings!$M$11*AR195,0)</f>
        <v>0</v>
      </c>
      <c r="CY195" s="2">
        <f t="shared" si="238"/>
        <v>0</v>
      </c>
      <c r="CZ195" s="108" t="s">
        <v>487</v>
      </c>
    </row>
    <row r="196" spans="1:104">
      <c r="A196" s="82">
        <v>402</v>
      </c>
      <c r="B196" s="4" t="s">
        <v>12</v>
      </c>
      <c r="C196" s="4" t="s">
        <v>822</v>
      </c>
      <c r="D196" s="1">
        <v>2118.6</v>
      </c>
      <c r="E196" s="1">
        <v>0</v>
      </c>
      <c r="F196" s="1">
        <f t="shared" si="240"/>
        <v>2118.6</v>
      </c>
      <c r="G196" s="1">
        <v>2131.8000000000002</v>
      </c>
      <c r="H196" s="1">
        <v>0</v>
      </c>
      <c r="I196" s="1">
        <f t="shared" si="201"/>
        <v>2131.8000000000002</v>
      </c>
      <c r="J196" s="1">
        <f t="shared" si="202"/>
        <v>2160.1999999999998</v>
      </c>
      <c r="K196" s="1">
        <f>IF(ISNA(VLOOKUP($CZ196,'Audit Values'!$A$2:$AE$439,2,FALSE)),'Preliminary SO66'!B193,VLOOKUP($CZ196,'Audit Values'!$A$2:$AE$439,31,FALSE))</f>
        <v>2160.1999999999998</v>
      </c>
      <c r="L196" s="1">
        <f t="shared" si="203"/>
        <v>2160.1999999999998</v>
      </c>
      <c r="M196" s="1">
        <f>IF(ISNA(VLOOKUP($CZ196,'Audit Values'!$A$2:$AE$439,2,FALSE)),'Preliminary SO66'!Z193,VLOOKUP($CZ196,'Audit Values'!$A$2:$AE$439,26,FALSE))</f>
        <v>0</v>
      </c>
      <c r="N196" s="1">
        <f t="shared" si="204"/>
        <v>2160.1999999999998</v>
      </c>
      <c r="O196" s="1">
        <f>IF(ISNA(VLOOKUP($CZ196,'Audit Values'!$A$2:$AE$439,2,FALSE)),'Preliminary SO66'!C193,IF(VLOOKUP($CZ196,'Audit Values'!$A$2:$AE$439,28,FALSE)="",VLOOKUP($CZ196,'Audit Values'!$A$2:$AE$439,3,FALSE),VLOOKUP($CZ196,'Audit Values'!$A$2:$AE$439,28,FALSE)))</f>
        <v>14.5</v>
      </c>
      <c r="P196" s="109">
        <f t="shared" si="205"/>
        <v>2174.6999999999998</v>
      </c>
      <c r="Q196" s="110">
        <f t="shared" si="206"/>
        <v>2174.6999999999998</v>
      </c>
      <c r="R196" s="111">
        <f t="shared" si="207"/>
        <v>2174.6999999999998</v>
      </c>
      <c r="S196" s="1">
        <f t="shared" si="208"/>
        <v>2174.6999999999998</v>
      </c>
      <c r="T196" s="1">
        <f t="shared" si="239"/>
        <v>0</v>
      </c>
      <c r="U196" s="1">
        <f t="shared" si="209"/>
        <v>76.2</v>
      </c>
      <c r="V196" s="1">
        <f t="shared" si="251"/>
        <v>0</v>
      </c>
      <c r="W196" s="1">
        <f t="shared" si="252"/>
        <v>76.2</v>
      </c>
      <c r="X196" s="1">
        <f>IF(ISNA(VLOOKUP($CZ196,'Audit Values'!$A$2:$AE$439,2,FALSE)),'Preliminary SO66'!D193,VLOOKUP($CZ196,'Audit Values'!$A$2:$AE$439,4,FALSE))</f>
        <v>569.6</v>
      </c>
      <c r="Y196" s="1">
        <f>ROUND((X196/6)*Weightings!$M$6,1)</f>
        <v>47.5</v>
      </c>
      <c r="Z196" s="1">
        <f>IF(ISNA(VLOOKUP($CZ196,'Audit Values'!$A$2:$AE$439,2,FALSE)),'Preliminary SO66'!F193,VLOOKUP($CZ196,'Audit Values'!$A$2:$AE$439,6,FALSE))</f>
        <v>16.8</v>
      </c>
      <c r="AA196" s="1">
        <f>ROUND((Z196/6)*Weightings!$M$7,1)</f>
        <v>1.1000000000000001</v>
      </c>
      <c r="AB196" s="2">
        <f>IF(ISNA(VLOOKUP($CZ196,'Audit Values'!$A$2:$AE$439,2,FALSE)),'Preliminary SO66'!H193,VLOOKUP($CZ196,'Audit Values'!$A$2:$AE$439,8,FALSE))</f>
        <v>785</v>
      </c>
      <c r="AC196" s="1">
        <f>ROUND(AB196*Weightings!$M$8,1)</f>
        <v>358</v>
      </c>
      <c r="AD196" s="1">
        <f t="shared" si="249"/>
        <v>6</v>
      </c>
      <c r="AE196" s="185">
        <v>171</v>
      </c>
      <c r="AF196" s="1">
        <f>AE196*Weightings!$M$9</f>
        <v>8</v>
      </c>
      <c r="AG196" s="1">
        <f>IF(ISNA(VLOOKUP($CZ196,'Audit Values'!$A$2:$AE$439,2,FALSE)),'Preliminary SO66'!L193,VLOOKUP($CZ196,'Audit Values'!$A$2:$AE$439,12,FALSE))</f>
        <v>369.1</v>
      </c>
      <c r="AH196" s="1">
        <f>ROUND(AG196*Weightings!$M$10,1)</f>
        <v>92.3</v>
      </c>
      <c r="AI196" s="1">
        <f>IF(ISNA(VLOOKUP($CZ196,'Audit Values'!$A$2:$AE$439,2,FALSE)),'Preliminary SO66'!O193,VLOOKUP($CZ196,'Audit Values'!$A$2:$AE$439,15,FALSE))</f>
        <v>440.4</v>
      </c>
      <c r="AJ196" s="1">
        <f t="shared" si="210"/>
        <v>75.5</v>
      </c>
      <c r="AK196" s="1">
        <f>CC196/Weightings!$M$5</f>
        <v>0</v>
      </c>
      <c r="AL196" s="1">
        <f>CD196/Weightings!$M$5</f>
        <v>0</v>
      </c>
      <c r="AM196" s="1">
        <f>CH196/Weightings!$M$5</f>
        <v>0</v>
      </c>
      <c r="AN196" s="1">
        <f t="shared" ref="AN196:AN252" si="253">CV196</f>
        <v>0</v>
      </c>
      <c r="AO196" s="1">
        <f>IF(ISNA(VLOOKUP($CZ196,'Audit Values'!$A$2:$AE$439,2,FALSE)),'Preliminary SO66'!X193,VLOOKUP($CZ196,'Audit Values'!$A$2:$AE$439,24,FALSE))</f>
        <v>0</v>
      </c>
      <c r="AP196" s="188">
        <v>1839348</v>
      </c>
      <c r="AQ196" s="113">
        <f>AP196/Weightings!$M$5</f>
        <v>479.2</v>
      </c>
      <c r="AR196" s="113">
        <f t="shared" si="212"/>
        <v>2839.3</v>
      </c>
      <c r="AS196" s="1">
        <f t="shared" si="213"/>
        <v>3318.5</v>
      </c>
      <c r="AT196" s="1">
        <f t="shared" si="214"/>
        <v>3318.5</v>
      </c>
      <c r="AU196" s="2">
        <f t="shared" si="231"/>
        <v>0</v>
      </c>
      <c r="AV196" s="82">
        <f>IF(ISNA(VLOOKUP($CZ196,'Audit Values'!$A$2:$AC$360,2,FALSE)),"",IF(AND(Weightings!H196&gt;0,VLOOKUP($CZ196,'Audit Values'!$A$2:$AC$360,29,FALSE)&lt;Weightings!H196),Weightings!H196,VLOOKUP($CZ196,'Audit Values'!$A$2:$AC$360,29,FALSE)))</f>
        <v>18</v>
      </c>
      <c r="AW196" s="82" t="str">
        <f>IF(ISNA(VLOOKUP($CZ196,'Audit Values'!$A$2:$AD$360,2,FALSE)),"",VLOOKUP($CZ196,'Audit Values'!$A$2:$AD$360,30,FALSE))</f>
        <v>A</v>
      </c>
      <c r="AX196" s="82" t="str">
        <f>IF(Weightings!G196="","",IF(Weightings!I196="Pending","PX","R"))</f>
        <v>R</v>
      </c>
      <c r="AY196" s="114">
        <f>AR196*Weightings!$M$5+AU196</f>
        <v>10897233</v>
      </c>
      <c r="AZ196" s="2">
        <f>AT196*Weightings!$M$5+AU196</f>
        <v>12736403</v>
      </c>
      <c r="BA196" s="2">
        <f>IF(Weightings!G196&gt;0,Weightings!G196,'Preliminary SO66'!AB193)</f>
        <v>12814698</v>
      </c>
      <c r="BB196" s="2">
        <f t="shared" si="215"/>
        <v>12736403</v>
      </c>
      <c r="BC196" s="124"/>
      <c r="BD196" s="124">
        <f>Weightings!E196</f>
        <v>0</v>
      </c>
      <c r="BE196" s="124">
        <f>Weightings!F196</f>
        <v>0</v>
      </c>
      <c r="BF196" s="2">
        <f t="shared" si="216"/>
        <v>0</v>
      </c>
      <c r="BG196" s="2">
        <f t="shared" si="217"/>
        <v>12736403</v>
      </c>
      <c r="BH196" s="2">
        <f>MAX(ROUND(((AR196-AO196)*4433)+AP196,0),ROUND(((AR196-AO196)*4433)+Weightings!B196,0))</f>
        <v>14425965</v>
      </c>
      <c r="BI196" s="174">
        <v>0.3</v>
      </c>
      <c r="BJ196" s="2">
        <f t="shared" si="245"/>
        <v>4327790</v>
      </c>
      <c r="BK196" s="173">
        <v>4287454</v>
      </c>
      <c r="BL196" s="2">
        <f t="shared" si="246"/>
        <v>4287454</v>
      </c>
      <c r="BM196" s="3">
        <f t="shared" si="232"/>
        <v>0.29720000000000002</v>
      </c>
      <c r="BN196" s="1">
        <f t="shared" si="218"/>
        <v>0</v>
      </c>
      <c r="BO196" s="4" t="b">
        <f t="shared" si="219"/>
        <v>0</v>
      </c>
      <c r="BP196" s="5">
        <f t="shared" si="220"/>
        <v>0</v>
      </c>
      <c r="BQ196" s="6">
        <f t="shared" si="247"/>
        <v>0</v>
      </c>
      <c r="BR196" s="4">
        <f t="shared" si="221"/>
        <v>0</v>
      </c>
      <c r="BS196" s="4" t="b">
        <f t="shared" si="222"/>
        <v>0</v>
      </c>
      <c r="BT196" s="4">
        <f t="shared" si="223"/>
        <v>0</v>
      </c>
      <c r="BU196" s="6">
        <f t="shared" si="248"/>
        <v>0</v>
      </c>
      <c r="BV196" s="1">
        <f t="shared" si="224"/>
        <v>0</v>
      </c>
      <c r="BW196" s="1">
        <f t="shared" si="225"/>
        <v>76.2</v>
      </c>
      <c r="BX196" s="116">
        <v>69.5</v>
      </c>
      <c r="BY196" s="7">
        <f t="shared" si="233"/>
        <v>6.34</v>
      </c>
      <c r="BZ196" s="7">
        <f>IF(ROUND((Weightings!$P$5*BY196^Weightings!$P$6*Weightings!$P$8 ),2)&lt;Weightings!$P$7,Weightings!$P$7,ROUND((Weightings!$P$5*BY196^Weightings!$P$6*Weightings!$P$8 ),2))</f>
        <v>657.68</v>
      </c>
      <c r="CA196" s="8">
        <f>ROUND(BZ196/Weightings!$M$5,4)</f>
        <v>0.1714</v>
      </c>
      <c r="CB196" s="1">
        <f t="shared" si="234"/>
        <v>75.5</v>
      </c>
      <c r="CC196" s="173">
        <v>0</v>
      </c>
      <c r="CD196" s="173">
        <v>0</v>
      </c>
      <c r="CE196" s="173">
        <v>0</v>
      </c>
      <c r="CF196" s="177">
        <v>0</v>
      </c>
      <c r="CG196" s="2">
        <f>AS196*Weightings!$M$5*CF196</f>
        <v>0</v>
      </c>
      <c r="CH196" s="2">
        <f t="shared" si="250"/>
        <v>0</v>
      </c>
      <c r="CI196" s="117">
        <f t="shared" si="226"/>
        <v>0.36099999999999999</v>
      </c>
      <c r="CJ196" s="4">
        <f t="shared" si="227"/>
        <v>31.3</v>
      </c>
      <c r="CK196" s="1">
        <f t="shared" si="235"/>
        <v>0</v>
      </c>
      <c r="CL196" s="1">
        <f t="shared" si="236"/>
        <v>0</v>
      </c>
      <c r="CM196" s="1">
        <f t="shared" si="237"/>
        <v>6</v>
      </c>
      <c r="CN196" s="1">
        <f>IF(ISNA(VLOOKUP($CZ196,'Audit Values'!$A$2:$AE$439,2,FALSE)),'Preliminary SO66'!T193,VLOOKUP($CZ196,'Audit Values'!$A$2:$AE$439,20,FALSE))</f>
        <v>0</v>
      </c>
      <c r="CO196" s="1">
        <f t="shared" ref="CO196:CO252" si="254">CN196*1.05</f>
        <v>0</v>
      </c>
      <c r="CP196" s="183">
        <v>0</v>
      </c>
      <c r="CQ196" s="1">
        <f t="shared" ref="CQ196:CQ252" si="255">CP196*0.25</f>
        <v>0</v>
      </c>
      <c r="CR196" s="2">
        <f>IF(ISNA(VLOOKUP($CZ196,'Audit Values'!$A$2:$AE$439,2,FALSE)),'Preliminary SO66'!V193,VLOOKUP($CZ196,'Audit Values'!$A$2:$AE$439,22,FALSE))</f>
        <v>0</v>
      </c>
      <c r="CS196" s="1">
        <f t="shared" ref="CS196:CS252" si="256">CR196*0.08</f>
        <v>0</v>
      </c>
      <c r="CT196" s="2">
        <f>IF(ISNA(VLOOKUP($CZ196,'Audit Values'!$A$2:$AE$439,2,FALSE)),'Preliminary SO66'!W193,VLOOKUP($CZ196,'Audit Values'!$A$2:$AE$439,23,FALSE))</f>
        <v>0</v>
      </c>
      <c r="CU196" s="1">
        <f t="shared" si="243"/>
        <v>0</v>
      </c>
      <c r="CV196" s="1">
        <f t="shared" si="244"/>
        <v>0</v>
      </c>
      <c r="CW196" s="176">
        <v>0</v>
      </c>
      <c r="CX196" s="2">
        <f>IF(CW196&gt;0,Weightings!$M$11*AR196,0)</f>
        <v>0</v>
      </c>
      <c r="CY196" s="2">
        <f t="shared" si="238"/>
        <v>0</v>
      </c>
      <c r="CZ196" s="108" t="s">
        <v>488</v>
      </c>
    </row>
    <row r="197" spans="1:104">
      <c r="A197" s="82">
        <v>403</v>
      </c>
      <c r="B197" s="4" t="s">
        <v>90</v>
      </c>
      <c r="C197" s="4" t="s">
        <v>823</v>
      </c>
      <c r="D197" s="1">
        <v>177.5</v>
      </c>
      <c r="E197" s="1">
        <v>0</v>
      </c>
      <c r="F197" s="1">
        <f t="shared" si="240"/>
        <v>177.5</v>
      </c>
      <c r="G197" s="1">
        <v>187.5</v>
      </c>
      <c r="H197" s="1">
        <v>0</v>
      </c>
      <c r="I197" s="1">
        <f t="shared" ref="I197:I257" si="257">G197+H197</f>
        <v>187.5</v>
      </c>
      <c r="J197" s="1">
        <f t="shared" ref="J197:J260" si="258">K197+T197</f>
        <v>217.7</v>
      </c>
      <c r="K197" s="1">
        <f>IF(ISNA(VLOOKUP($CZ197,'Audit Values'!$A$2:$AE$439,2,FALSE)),'Preliminary SO66'!B194,VLOOKUP($CZ197,'Audit Values'!$A$2:$AE$439,31,FALSE))</f>
        <v>205.5</v>
      </c>
      <c r="L197" s="1">
        <f t="shared" ref="L197:L260" si="259">MAX(K197, I197,AVERAGE(F197, I197, K197))</f>
        <v>205.5</v>
      </c>
      <c r="M197" s="1">
        <f>IF(ISNA(VLOOKUP($CZ197,'Audit Values'!$A$2:$AE$439,2,FALSE)),'Preliminary SO66'!Z194,VLOOKUP($CZ197,'Audit Values'!$A$2:$AE$439,26,FALSE))</f>
        <v>0</v>
      </c>
      <c r="N197" s="1">
        <f t="shared" ref="N197:N260" si="260">L197+M197</f>
        <v>205.5</v>
      </c>
      <c r="O197" s="1">
        <f>IF(ISNA(VLOOKUP($CZ197,'Audit Values'!$A$2:$AE$439,2,FALSE)),'Preliminary SO66'!C194,IF(VLOOKUP($CZ197,'Audit Values'!$A$2:$AE$439,28,FALSE)="",VLOOKUP($CZ197,'Audit Values'!$A$2:$AE$439,3,FALSE),VLOOKUP($CZ197,'Audit Values'!$A$2:$AE$439,28,FALSE)))</f>
        <v>0</v>
      </c>
      <c r="P197" s="109">
        <f t="shared" ref="P197:P260" si="261">K197+O197</f>
        <v>205.5</v>
      </c>
      <c r="Q197" s="110">
        <f t="shared" ref="Q197:Q260" si="262">J197+O197</f>
        <v>217.7</v>
      </c>
      <c r="R197" s="111">
        <f t="shared" ref="R197:R260" si="263">J197+O197+M197</f>
        <v>217.7</v>
      </c>
      <c r="S197" s="1">
        <f t="shared" ref="S197:S260" si="264">L197+M197+O197</f>
        <v>205.5</v>
      </c>
      <c r="T197" s="1">
        <f t="shared" si="239"/>
        <v>12.2</v>
      </c>
      <c r="U197" s="1">
        <f t="shared" ref="U197:U260" si="265">IF(L197&gt;0,MAX(BN197,BR197,BV197,BW197),0)</f>
        <v>151</v>
      </c>
      <c r="V197" s="1">
        <f t="shared" si="251"/>
        <v>151</v>
      </c>
      <c r="W197" s="1">
        <f t="shared" si="252"/>
        <v>0</v>
      </c>
      <c r="X197" s="1">
        <f>IF(ISNA(VLOOKUP($CZ197,'Audit Values'!$A$2:$AE$439,2,FALSE)),'Preliminary SO66'!D194,VLOOKUP($CZ197,'Audit Values'!$A$2:$AE$439,4,FALSE))</f>
        <v>45</v>
      </c>
      <c r="Y197" s="1">
        <f>ROUND((X197/6)*Weightings!$M$6,1)</f>
        <v>3.8</v>
      </c>
      <c r="Z197" s="1">
        <f>IF(ISNA(VLOOKUP($CZ197,'Audit Values'!$A$2:$AE$439,2,FALSE)),'Preliminary SO66'!F194,VLOOKUP($CZ197,'Audit Values'!$A$2:$AE$439,6,FALSE))</f>
        <v>0</v>
      </c>
      <c r="AA197" s="1">
        <f>ROUND((Z197/6)*Weightings!$M$7,1)</f>
        <v>0</v>
      </c>
      <c r="AB197" s="2">
        <f>IF(ISNA(VLOOKUP($CZ197,'Audit Values'!$A$2:$AE$439,2,FALSE)),'Preliminary SO66'!H194,VLOOKUP($CZ197,'Audit Values'!$A$2:$AE$439,8,FALSE))</f>
        <v>52</v>
      </c>
      <c r="AC197" s="1">
        <f>ROUND(AB197*Weightings!$M$8,1)</f>
        <v>23.7</v>
      </c>
      <c r="AD197" s="1">
        <f t="shared" si="249"/>
        <v>0</v>
      </c>
      <c r="AE197" s="185">
        <v>18</v>
      </c>
      <c r="AF197" s="1">
        <f>AE197*Weightings!$M$9</f>
        <v>0.8</v>
      </c>
      <c r="AG197" s="1">
        <f>IF(ISNA(VLOOKUP($CZ197,'Audit Values'!$A$2:$AE$439,2,FALSE)),'Preliminary SO66'!L194,VLOOKUP($CZ197,'Audit Values'!$A$2:$AE$439,12,FALSE))</f>
        <v>0</v>
      </c>
      <c r="AH197" s="1">
        <f>ROUND(AG197*Weightings!$M$10,1)</f>
        <v>0</v>
      </c>
      <c r="AI197" s="1">
        <f>IF(ISNA(VLOOKUP($CZ197,'Audit Values'!$A$2:$AE$439,2,FALSE)),'Preliminary SO66'!O194,VLOOKUP($CZ197,'Audit Values'!$A$2:$AE$439,15,FALSE))</f>
        <v>118</v>
      </c>
      <c r="AJ197" s="1">
        <f t="shared" ref="AJ197:AJ260" si="266">CB197</f>
        <v>39.200000000000003</v>
      </c>
      <c r="AK197" s="1">
        <f>CC197/Weightings!$M$5</f>
        <v>0</v>
      </c>
      <c r="AL197" s="1">
        <f>CD197/Weightings!$M$5</f>
        <v>0</v>
      </c>
      <c r="AM197" s="1">
        <f>CH197/Weightings!$M$5</f>
        <v>0</v>
      </c>
      <c r="AN197" s="1">
        <f t="shared" si="253"/>
        <v>12.8</v>
      </c>
      <c r="AO197" s="1">
        <f>IF(ISNA(VLOOKUP($CZ197,'Audit Values'!$A$2:$AE$439,2,FALSE)),'Preliminary SO66'!X194,VLOOKUP($CZ197,'Audit Values'!$A$2:$AE$439,24,FALSE))</f>
        <v>0</v>
      </c>
      <c r="AP197" s="188">
        <v>264857</v>
      </c>
      <c r="AQ197" s="113">
        <f>AP197/Weightings!$M$5</f>
        <v>69</v>
      </c>
      <c r="AR197" s="113">
        <f t="shared" ref="AR197:AR260" si="267">SUM(S197+ U197+ Y197+ AA197+ AC197+ AH197+ AJ197+ AK197+ AL197+ AD197+AF197+AM197+AN197+AO197)</f>
        <v>436.8</v>
      </c>
      <c r="AS197" s="1">
        <f t="shared" ref="AS197:AS260" si="268">SUM(S197+U197+Y197+AA197+AC197+AH197+AJ197+AK197+AL197+AD197+AF197+AQ197+AN197+AO197)</f>
        <v>505.8</v>
      </c>
      <c r="AT197" s="1">
        <f t="shared" ref="AT197:AT260" si="269">SUM(S197+U197+Y197+AA197+AC197+AH197+AJ197+AK197+AL197+AQ197+AD197+AF197+AM197+AN197+AO197)</f>
        <v>505.8</v>
      </c>
      <c r="AU197" s="2">
        <f t="shared" si="231"/>
        <v>0</v>
      </c>
      <c r="AV197" s="82">
        <f>IF(ISNA(VLOOKUP($CZ197,'Audit Values'!$A$2:$AC$360,2,FALSE)),"",IF(AND(Weightings!H197&gt;0,VLOOKUP($CZ197,'Audit Values'!$A$2:$AC$360,29,FALSE)&lt;Weightings!H197),Weightings!H197,VLOOKUP($CZ197,'Audit Values'!$A$2:$AC$360,29,FALSE)))</f>
        <v>21</v>
      </c>
      <c r="AW197" s="82" t="str">
        <f>IF(ISNA(VLOOKUP($CZ197,'Audit Values'!$A$2:$AD$360,2,FALSE)),"",VLOOKUP($CZ197,'Audit Values'!$A$2:$AD$360,30,FALSE))</f>
        <v>A</v>
      </c>
      <c r="AX197" s="82" t="str">
        <f>IF(Weightings!G197="","",IF(Weightings!I197="Pending","PX","R"))</f>
        <v/>
      </c>
      <c r="AY197" s="114">
        <f>AR197*Weightings!$M$5+AU197</f>
        <v>1676438</v>
      </c>
      <c r="AZ197" s="2">
        <f>AT197*Weightings!$M$5+AU197</f>
        <v>1941260</v>
      </c>
      <c r="BA197" s="2">
        <f>IF(Weightings!G197&gt;0,Weightings!G197,'Preliminary SO66'!AB194)</f>
        <v>2024929</v>
      </c>
      <c r="BB197" s="2">
        <f t="shared" ref="BB197:BB260" si="270">MIN(AZ197,BA197)</f>
        <v>1941260</v>
      </c>
      <c r="BC197" s="124"/>
      <c r="BD197" s="124">
        <f>Weightings!E197</f>
        <v>0</v>
      </c>
      <c r="BE197" s="124">
        <f>Weightings!F197</f>
        <v>0</v>
      </c>
      <c r="BF197" s="2">
        <f t="shared" ref="BF197:BF260" si="271">SUM(BC197:BE197)</f>
        <v>0</v>
      </c>
      <c r="BG197" s="2">
        <f t="shared" ref="BG197:BG260" si="272">BB197+BF197</f>
        <v>1941260</v>
      </c>
      <c r="BH197" s="2">
        <f>MAX(ROUND(((AR197-AO197)*4433)+AP197,0),ROUND(((AR197-AO197)*4433)+Weightings!B197,0))</f>
        <v>2201191</v>
      </c>
      <c r="BI197" s="174">
        <v>0.3</v>
      </c>
      <c r="BJ197" s="2">
        <f t="shared" si="245"/>
        <v>660357</v>
      </c>
      <c r="BK197" s="173">
        <v>470000</v>
      </c>
      <c r="BL197" s="2">
        <f t="shared" si="246"/>
        <v>470000</v>
      </c>
      <c r="BM197" s="3">
        <f t="shared" si="232"/>
        <v>0.2135</v>
      </c>
      <c r="BN197" s="1">
        <f t="shared" ref="BN197:BN260" si="273">ROUND(IF(S197&lt;=99.9,(S197*1.014331),0),1)</f>
        <v>0</v>
      </c>
      <c r="BO197" s="4" t="b">
        <f t="shared" ref="BO197:BO260" si="274">AND(S197&gt;99.9,S197&lt;=299.9)</f>
        <v>1</v>
      </c>
      <c r="BP197" s="5">
        <f t="shared" ref="BP197:BP260" si="275">IF(BO197=TRUE,ROUND((S197-100)*9.655,3),0)</f>
        <v>1018.603</v>
      </c>
      <c r="BQ197" s="6">
        <f t="shared" si="247"/>
        <v>0.73468</v>
      </c>
      <c r="BR197" s="4">
        <f t="shared" ref="BR197:BR260" si="276">ROUND(S197*BQ197,1)</f>
        <v>151</v>
      </c>
      <c r="BS197" s="4" t="b">
        <f t="shared" ref="BS197:BS260" si="277">AND(S197&gt;299.9,S197&lt;=1621.9)</f>
        <v>0</v>
      </c>
      <c r="BT197" s="4">
        <f t="shared" ref="BT197:BT260" si="278">IF(BS197=TRUE,ROUND((S197-300)*1.2375,4),0)</f>
        <v>0</v>
      </c>
      <c r="BU197" s="6">
        <f t="shared" si="248"/>
        <v>0</v>
      </c>
      <c r="BV197" s="1">
        <f t="shared" ref="BV197:BV260" si="279">ROUND(BU197*S197,1)</f>
        <v>0</v>
      </c>
      <c r="BW197" s="1">
        <f t="shared" ref="BW197:BW260" si="280">ROUND(IF(S197&gt;=1622,(S197*0.03504),0),1)</f>
        <v>0</v>
      </c>
      <c r="BX197" s="116">
        <v>339.5</v>
      </c>
      <c r="BY197" s="7">
        <f t="shared" si="233"/>
        <v>0.35</v>
      </c>
      <c r="BZ197" s="7">
        <f>IF(ROUND((Weightings!$P$5*BY197^Weightings!$P$6*Weightings!$P$8 ),2)&lt;Weightings!$P$7,Weightings!$P$7,ROUND((Weightings!$P$5*BY197^Weightings!$P$6*Weightings!$P$8 ),2))</f>
        <v>1273.42</v>
      </c>
      <c r="CA197" s="8">
        <f>ROUND(BZ197/Weightings!$M$5,4)</f>
        <v>0.33179999999999998</v>
      </c>
      <c r="CB197" s="1">
        <f t="shared" si="234"/>
        <v>39.200000000000003</v>
      </c>
      <c r="CC197" s="173">
        <v>0</v>
      </c>
      <c r="CD197" s="173">
        <v>0</v>
      </c>
      <c r="CE197" s="173">
        <v>0</v>
      </c>
      <c r="CF197" s="177">
        <v>0</v>
      </c>
      <c r="CG197" s="2">
        <f>AS197*Weightings!$M$5*CF197</f>
        <v>0</v>
      </c>
      <c r="CH197" s="2">
        <f t="shared" si="250"/>
        <v>0</v>
      </c>
      <c r="CI197" s="117">
        <f t="shared" ref="CI197:CI260" si="281">ROUND(AB197/S197,3)</f>
        <v>0.253</v>
      </c>
      <c r="CJ197" s="4">
        <f t="shared" ref="CJ197:CJ260" si="282">ROUND(S197/BX197,1)</f>
        <v>0.6</v>
      </c>
      <c r="CK197" s="1">
        <f t="shared" si="235"/>
        <v>0</v>
      </c>
      <c r="CL197" s="1">
        <f t="shared" si="236"/>
        <v>0</v>
      </c>
      <c r="CM197" s="1">
        <f t="shared" si="237"/>
        <v>0</v>
      </c>
      <c r="CN197" s="1">
        <f>IF(ISNA(VLOOKUP($CZ197,'Audit Values'!$A$2:$AE$439,2,FALSE)),'Preliminary SO66'!T194,VLOOKUP($CZ197,'Audit Values'!$A$2:$AE$439,20,FALSE))</f>
        <v>12.2</v>
      </c>
      <c r="CO197" s="1">
        <f t="shared" si="254"/>
        <v>12.8</v>
      </c>
      <c r="CP197" s="183">
        <v>0</v>
      </c>
      <c r="CQ197" s="1">
        <f t="shared" si="255"/>
        <v>0</v>
      </c>
      <c r="CR197" s="2">
        <f>IF(ISNA(VLOOKUP($CZ197,'Audit Values'!$A$2:$AE$439,2,FALSE)),'Preliminary SO66'!V194,VLOOKUP($CZ197,'Audit Values'!$A$2:$AE$439,22,FALSE))</f>
        <v>0</v>
      </c>
      <c r="CS197" s="1">
        <f t="shared" si="256"/>
        <v>0</v>
      </c>
      <c r="CT197" s="2">
        <f>IF(ISNA(VLOOKUP($CZ197,'Audit Values'!$A$2:$AE$439,2,FALSE)),'Preliminary SO66'!W194,VLOOKUP($CZ197,'Audit Values'!$A$2:$AE$439,23,FALSE))</f>
        <v>0</v>
      </c>
      <c r="CU197" s="1">
        <f t="shared" si="243"/>
        <v>0</v>
      </c>
      <c r="CV197" s="1">
        <f t="shared" si="244"/>
        <v>12.8</v>
      </c>
      <c r="CW197" s="176">
        <v>0</v>
      </c>
      <c r="CX197" s="2">
        <f>IF(CW197&gt;0,Weightings!$M$11*AR197,0)</f>
        <v>0</v>
      </c>
      <c r="CY197" s="2">
        <f t="shared" si="238"/>
        <v>0</v>
      </c>
      <c r="CZ197" s="108" t="s">
        <v>489</v>
      </c>
    </row>
    <row r="198" spans="1:104">
      <c r="A198" s="82">
        <v>404</v>
      </c>
      <c r="B198" s="4" t="s">
        <v>31</v>
      </c>
      <c r="C198" s="4" t="s">
        <v>824</v>
      </c>
      <c r="D198" s="1">
        <v>770.5</v>
      </c>
      <c r="E198" s="1">
        <v>0</v>
      </c>
      <c r="F198" s="1">
        <f t="shared" si="240"/>
        <v>770.5</v>
      </c>
      <c r="G198" s="1">
        <v>745</v>
      </c>
      <c r="H198" s="1">
        <v>0</v>
      </c>
      <c r="I198" s="1">
        <f t="shared" si="257"/>
        <v>745</v>
      </c>
      <c r="J198" s="1">
        <f t="shared" si="258"/>
        <v>725.7</v>
      </c>
      <c r="K198" s="1">
        <f>IF(ISNA(VLOOKUP($CZ198,'Audit Values'!$A$2:$AE$439,2,FALSE)),'Preliminary SO66'!B195,VLOOKUP($CZ198,'Audit Values'!$A$2:$AE$439,31,FALSE))</f>
        <v>725.7</v>
      </c>
      <c r="L198" s="1">
        <f t="shared" si="259"/>
        <v>747.1</v>
      </c>
      <c r="M198" s="1">
        <f>IF(ISNA(VLOOKUP($CZ198,'Audit Values'!$A$2:$AE$439,2,FALSE)),'Preliminary SO66'!Z195,VLOOKUP($CZ198,'Audit Values'!$A$2:$AE$439,26,FALSE))</f>
        <v>0</v>
      </c>
      <c r="N198" s="1">
        <f t="shared" si="260"/>
        <v>747.1</v>
      </c>
      <c r="O198" s="1">
        <f>IF(ISNA(VLOOKUP($CZ198,'Audit Values'!$A$2:$AE$439,2,FALSE)),'Preliminary SO66'!C195,IF(VLOOKUP($CZ198,'Audit Values'!$A$2:$AE$439,28,FALSE)="",VLOOKUP($CZ198,'Audit Values'!$A$2:$AE$439,3,FALSE),VLOOKUP($CZ198,'Audit Values'!$A$2:$AE$439,28,FALSE)))</f>
        <v>7</v>
      </c>
      <c r="P198" s="109">
        <f t="shared" si="261"/>
        <v>732.7</v>
      </c>
      <c r="Q198" s="110">
        <f t="shared" si="262"/>
        <v>732.7</v>
      </c>
      <c r="R198" s="111">
        <f t="shared" si="263"/>
        <v>732.7</v>
      </c>
      <c r="S198" s="1">
        <f t="shared" si="264"/>
        <v>754.1</v>
      </c>
      <c r="T198" s="1">
        <f t="shared" si="239"/>
        <v>0</v>
      </c>
      <c r="U198" s="1">
        <f t="shared" si="265"/>
        <v>248.8</v>
      </c>
      <c r="V198" s="1">
        <f t="shared" si="251"/>
        <v>248.8</v>
      </c>
      <c r="W198" s="1">
        <f t="shared" si="252"/>
        <v>0</v>
      </c>
      <c r="X198" s="1">
        <f>IF(ISNA(VLOOKUP($CZ198,'Audit Values'!$A$2:$AE$439,2,FALSE)),'Preliminary SO66'!D195,VLOOKUP($CZ198,'Audit Values'!$A$2:$AE$439,4,FALSE))</f>
        <v>208.8</v>
      </c>
      <c r="Y198" s="1">
        <f>ROUND((X198/6)*Weightings!$M$6,1)</f>
        <v>17.399999999999999</v>
      </c>
      <c r="Z198" s="1">
        <f>IF(ISNA(VLOOKUP($CZ198,'Audit Values'!$A$2:$AE$439,2,FALSE)),'Preliminary SO66'!F195,VLOOKUP($CZ198,'Audit Values'!$A$2:$AE$439,6,FALSE))</f>
        <v>0</v>
      </c>
      <c r="AA198" s="1">
        <f>ROUND((Z198/6)*Weightings!$M$7,1)</f>
        <v>0</v>
      </c>
      <c r="AB198" s="2">
        <f>IF(ISNA(VLOOKUP($CZ198,'Audit Values'!$A$2:$AE$439,2,FALSE)),'Preliminary SO66'!H195,VLOOKUP($CZ198,'Audit Values'!$A$2:$AE$439,8,FALSE))</f>
        <v>334</v>
      </c>
      <c r="AC198" s="1">
        <f>ROUND(AB198*Weightings!$M$8,1)</f>
        <v>152.30000000000001</v>
      </c>
      <c r="AD198" s="1">
        <f t="shared" si="249"/>
        <v>21.7</v>
      </c>
      <c r="AE198" s="185">
        <v>50</v>
      </c>
      <c r="AF198" s="1">
        <f>AE198*Weightings!$M$9</f>
        <v>2.2999999999999998</v>
      </c>
      <c r="AG198" s="1">
        <f>IF(ISNA(VLOOKUP($CZ198,'Audit Values'!$A$2:$AE$439,2,FALSE)),'Preliminary SO66'!L195,VLOOKUP($CZ198,'Audit Values'!$A$2:$AE$439,12,FALSE))</f>
        <v>0</v>
      </c>
      <c r="AH198" s="1">
        <f>ROUND(AG198*Weightings!$M$10,1)</f>
        <v>0</v>
      </c>
      <c r="AI198" s="1">
        <f>IF(ISNA(VLOOKUP($CZ198,'Audit Values'!$A$2:$AE$439,2,FALSE)),'Preliminary SO66'!O195,VLOOKUP($CZ198,'Audit Values'!$A$2:$AE$439,15,FALSE))</f>
        <v>261</v>
      </c>
      <c r="AJ198" s="1">
        <f t="shared" si="266"/>
        <v>48.7</v>
      </c>
      <c r="AK198" s="1">
        <f>CC198/Weightings!$M$5</f>
        <v>0</v>
      </c>
      <c r="AL198" s="1">
        <f>CD198/Weightings!$M$5</f>
        <v>0</v>
      </c>
      <c r="AM198" s="1">
        <f>CH198/Weightings!$M$5</f>
        <v>0</v>
      </c>
      <c r="AN198" s="1">
        <f t="shared" si="253"/>
        <v>0</v>
      </c>
      <c r="AO198" s="1">
        <f>IF(ISNA(VLOOKUP($CZ198,'Audit Values'!$A$2:$AE$439,2,FALSE)),'Preliminary SO66'!X195,VLOOKUP($CZ198,'Audit Values'!$A$2:$AE$439,24,FALSE))</f>
        <v>0</v>
      </c>
      <c r="AP198" s="188">
        <v>645819</v>
      </c>
      <c r="AQ198" s="113">
        <f>AP198/Weightings!$M$5</f>
        <v>168.3</v>
      </c>
      <c r="AR198" s="113">
        <f t="shared" si="267"/>
        <v>1245.3</v>
      </c>
      <c r="AS198" s="1">
        <f t="shared" si="268"/>
        <v>1413.6</v>
      </c>
      <c r="AT198" s="1">
        <f t="shared" si="269"/>
        <v>1413.6</v>
      </c>
      <c r="AU198" s="2">
        <f t="shared" ref="AU198:AU261" si="283">CY198</f>
        <v>0</v>
      </c>
      <c r="AV198" s="82">
        <f>IF(ISNA(VLOOKUP($CZ198,'Audit Values'!$A$2:$AC$360,2,FALSE)),"",IF(AND(Weightings!H198&gt;0,VLOOKUP($CZ198,'Audit Values'!$A$2:$AC$360,29,FALSE)&lt;Weightings!H198),Weightings!H198,VLOOKUP($CZ198,'Audit Values'!$A$2:$AC$360,29,FALSE)))</f>
        <v>1</v>
      </c>
      <c r="AW198" s="82" t="str">
        <f>IF(ISNA(VLOOKUP($CZ198,'Audit Values'!$A$2:$AD$360,2,FALSE)),"",VLOOKUP($CZ198,'Audit Values'!$A$2:$AD$360,30,FALSE))</f>
        <v>A</v>
      </c>
      <c r="AX198" s="82" t="str">
        <f>IF(Weightings!G198="","",IF(Weightings!I198="Pending","PX","R"))</f>
        <v/>
      </c>
      <c r="AY198" s="114">
        <f>AR198*Weightings!$M$5+AU198</f>
        <v>4779461</v>
      </c>
      <c r="AZ198" s="2">
        <f>AT198*Weightings!$M$5+AU198</f>
        <v>5425397</v>
      </c>
      <c r="BA198" s="2">
        <f>IF(Weightings!G198&gt;0,Weightings!G198,'Preliminary SO66'!AB195)</f>
        <v>5555889</v>
      </c>
      <c r="BB198" s="2">
        <f t="shared" si="270"/>
        <v>5425397</v>
      </c>
      <c r="BC198" s="124"/>
      <c r="BD198" s="124">
        <f>Weightings!E198</f>
        <v>0</v>
      </c>
      <c r="BE198" s="124">
        <f>Weightings!F198</f>
        <v>0</v>
      </c>
      <c r="BF198" s="2">
        <f t="shared" si="271"/>
        <v>0</v>
      </c>
      <c r="BG198" s="2">
        <f t="shared" si="272"/>
        <v>5425397</v>
      </c>
      <c r="BH198" s="2">
        <f>MAX(ROUND(((AR198-AO198)*4433)+AP198,0),ROUND(((AR198-AO198)*4433)+Weightings!B198,0))</f>
        <v>6195418</v>
      </c>
      <c r="BI198" s="174">
        <v>0.3</v>
      </c>
      <c r="BJ198" s="2">
        <f t="shared" si="245"/>
        <v>1858625</v>
      </c>
      <c r="BK198" s="173">
        <v>1891268</v>
      </c>
      <c r="BL198" s="2">
        <f t="shared" si="246"/>
        <v>1858625</v>
      </c>
      <c r="BM198" s="3">
        <f t="shared" ref="BM198:BM258" si="284">BL198/BH198</f>
        <v>0.3</v>
      </c>
      <c r="BN198" s="1">
        <f t="shared" si="273"/>
        <v>0</v>
      </c>
      <c r="BO198" s="4" t="b">
        <f t="shared" si="274"/>
        <v>0</v>
      </c>
      <c r="BP198" s="5">
        <f t="shared" si="275"/>
        <v>0</v>
      </c>
      <c r="BQ198" s="6">
        <f t="shared" si="247"/>
        <v>0</v>
      </c>
      <c r="BR198" s="4">
        <f t="shared" si="276"/>
        <v>0</v>
      </c>
      <c r="BS198" s="4" t="b">
        <f t="shared" si="277"/>
        <v>1</v>
      </c>
      <c r="BT198" s="4">
        <f t="shared" si="278"/>
        <v>561.94880000000001</v>
      </c>
      <c r="BU198" s="6">
        <f t="shared" si="248"/>
        <v>0.32990599999999998</v>
      </c>
      <c r="BV198" s="1">
        <f t="shared" si="279"/>
        <v>248.8</v>
      </c>
      <c r="BW198" s="1">
        <f t="shared" si="280"/>
        <v>0</v>
      </c>
      <c r="BX198" s="116">
        <v>60</v>
      </c>
      <c r="BY198" s="7">
        <f t="shared" ref="BY198:BY261" si="285">AI198/BX198</f>
        <v>4.3499999999999996</v>
      </c>
      <c r="BZ198" s="7">
        <f>IF(ROUND((Weightings!$P$5*BY198^Weightings!$P$6*Weightings!$P$8 ),2)&lt;Weightings!$P$7,Weightings!$P$7,ROUND((Weightings!$P$5*BY198^Weightings!$P$6*Weightings!$P$8 ),2))</f>
        <v>716.69</v>
      </c>
      <c r="CA198" s="8">
        <f>ROUND(BZ198/Weightings!$M$5,4)</f>
        <v>0.1867</v>
      </c>
      <c r="CB198" s="1">
        <f t="shared" ref="CB198:CB261" si="286">ROUND(IF(AI198&gt;0,CA198*AI198,0),1)</f>
        <v>48.7</v>
      </c>
      <c r="CC198" s="173">
        <v>0</v>
      </c>
      <c r="CD198" s="173">
        <v>0</v>
      </c>
      <c r="CE198" s="173">
        <v>0</v>
      </c>
      <c r="CF198" s="177">
        <v>0</v>
      </c>
      <c r="CG198" s="2">
        <f>AS198*Weightings!$M$5*CF198</f>
        <v>0</v>
      </c>
      <c r="CH198" s="2">
        <f t="shared" si="250"/>
        <v>0</v>
      </c>
      <c r="CI198" s="117">
        <f t="shared" si="281"/>
        <v>0.443</v>
      </c>
      <c r="CJ198" s="4">
        <f t="shared" si="282"/>
        <v>12.6</v>
      </c>
      <c r="CK198" s="1">
        <f t="shared" ref="CK198:CK261" si="287">IF(CI198&gt;=50%,AB198*10.5%,0)</f>
        <v>0</v>
      </c>
      <c r="CL198" s="1">
        <f t="shared" ref="CL198:CL261" si="288">IF(AND(CI198&gt;=35.1%,CJ198&gt;212),AB198*0.105,0)</f>
        <v>0</v>
      </c>
      <c r="CM198" s="1">
        <f t="shared" ref="CM198:CM261" si="289">IF(AND((CI198-0.35)&gt;0,CI198&lt;0.5),AB198*(CI198-0.35)*0.7,0)</f>
        <v>21.7</v>
      </c>
      <c r="CN198" s="1">
        <f>IF(ISNA(VLOOKUP($CZ198,'Audit Values'!$A$2:$AE$439,2,FALSE)),'Preliminary SO66'!T195,VLOOKUP($CZ198,'Audit Values'!$A$2:$AE$439,20,FALSE))</f>
        <v>0</v>
      </c>
      <c r="CO198" s="1">
        <f t="shared" si="254"/>
        <v>0</v>
      </c>
      <c r="CP198" s="183">
        <v>0</v>
      </c>
      <c r="CQ198" s="1">
        <f t="shared" si="255"/>
        <v>0</v>
      </c>
      <c r="CR198" s="2">
        <f>IF(ISNA(VLOOKUP($CZ198,'Audit Values'!$A$2:$AE$439,2,FALSE)),'Preliminary SO66'!V195,VLOOKUP($CZ198,'Audit Values'!$A$2:$AE$439,22,FALSE))</f>
        <v>0</v>
      </c>
      <c r="CS198" s="1">
        <f t="shared" si="256"/>
        <v>0</v>
      </c>
      <c r="CT198" s="2">
        <f>IF(ISNA(VLOOKUP($CZ198,'Audit Values'!$A$2:$AE$439,2,FALSE)),'Preliminary SO66'!W195,VLOOKUP($CZ198,'Audit Values'!$A$2:$AE$439,23,FALSE))</f>
        <v>0</v>
      </c>
      <c r="CU198" s="1">
        <f t="shared" si="243"/>
        <v>0</v>
      </c>
      <c r="CV198" s="1">
        <f t="shared" si="244"/>
        <v>0</v>
      </c>
      <c r="CW198" s="176">
        <v>0</v>
      </c>
      <c r="CX198" s="2">
        <f>IF(CW198&gt;0,Weightings!$M$11*AR198,0)</f>
        <v>0</v>
      </c>
      <c r="CY198" s="2">
        <f t="shared" ref="CY198:CY261" si="290">MIN(CW198,CX198)</f>
        <v>0</v>
      </c>
      <c r="CZ198" s="108" t="s">
        <v>490</v>
      </c>
    </row>
    <row r="199" spans="1:104">
      <c r="A199" s="82">
        <v>405</v>
      </c>
      <c r="B199" s="4" t="s">
        <v>78</v>
      </c>
      <c r="C199" s="4" t="s">
        <v>825</v>
      </c>
      <c r="D199" s="1">
        <v>754.2</v>
      </c>
      <c r="E199" s="1">
        <v>0</v>
      </c>
      <c r="F199" s="1">
        <f t="shared" si="240"/>
        <v>754.2</v>
      </c>
      <c r="G199" s="1">
        <v>744.5</v>
      </c>
      <c r="H199" s="1">
        <v>0</v>
      </c>
      <c r="I199" s="1">
        <f t="shared" si="257"/>
        <v>744.5</v>
      </c>
      <c r="J199" s="1">
        <f t="shared" si="258"/>
        <v>757.5</v>
      </c>
      <c r="K199" s="1">
        <f>IF(ISNA(VLOOKUP($CZ199,'Audit Values'!$A$2:$AE$439,2,FALSE)),'Preliminary SO66'!B196,VLOOKUP($CZ199,'Audit Values'!$A$2:$AE$439,31,FALSE))</f>
        <v>727.5</v>
      </c>
      <c r="L199" s="1">
        <f t="shared" si="259"/>
        <v>744.5</v>
      </c>
      <c r="M199" s="1">
        <f>IF(ISNA(VLOOKUP($CZ199,'Audit Values'!$A$2:$AE$439,2,FALSE)),'Preliminary SO66'!Z196,VLOOKUP($CZ199,'Audit Values'!$A$2:$AE$439,26,FALSE))</f>
        <v>0</v>
      </c>
      <c r="N199" s="1">
        <f t="shared" si="260"/>
        <v>744.5</v>
      </c>
      <c r="O199" s="1">
        <f>IF(ISNA(VLOOKUP($CZ199,'Audit Values'!$A$2:$AE$439,2,FALSE)),'Preliminary SO66'!C196,IF(VLOOKUP($CZ199,'Audit Values'!$A$2:$AE$439,28,FALSE)="",VLOOKUP($CZ199,'Audit Values'!$A$2:$AE$439,3,FALSE),VLOOKUP($CZ199,'Audit Values'!$A$2:$AE$439,28,FALSE)))</f>
        <v>16</v>
      </c>
      <c r="P199" s="109">
        <f t="shared" si="261"/>
        <v>743.5</v>
      </c>
      <c r="Q199" s="110">
        <f t="shared" si="262"/>
        <v>773.5</v>
      </c>
      <c r="R199" s="111">
        <f t="shared" si="263"/>
        <v>773.5</v>
      </c>
      <c r="S199" s="1">
        <f t="shared" si="264"/>
        <v>760.5</v>
      </c>
      <c r="T199" s="1">
        <f t="shared" si="239"/>
        <v>30</v>
      </c>
      <c r="U199" s="1">
        <f t="shared" si="265"/>
        <v>249.2</v>
      </c>
      <c r="V199" s="1">
        <f t="shared" si="251"/>
        <v>249.2</v>
      </c>
      <c r="W199" s="1">
        <f t="shared" si="252"/>
        <v>0</v>
      </c>
      <c r="X199" s="1">
        <f>IF(ISNA(VLOOKUP($CZ199,'Audit Values'!$A$2:$AE$439,2,FALSE)),'Preliminary SO66'!D196,VLOOKUP($CZ199,'Audit Values'!$A$2:$AE$439,4,FALSE))</f>
        <v>113.1</v>
      </c>
      <c r="Y199" s="1">
        <f>ROUND((X199/6)*Weightings!$M$6,1)</f>
        <v>9.4</v>
      </c>
      <c r="Z199" s="1">
        <f>IF(ISNA(VLOOKUP($CZ199,'Audit Values'!$A$2:$AE$439,2,FALSE)),'Preliminary SO66'!F196,VLOOKUP($CZ199,'Audit Values'!$A$2:$AE$439,6,FALSE))</f>
        <v>555.6</v>
      </c>
      <c r="AA199" s="1">
        <f>ROUND((Z199/6)*Weightings!$M$7,1)</f>
        <v>36.6</v>
      </c>
      <c r="AB199" s="2">
        <f>IF(ISNA(VLOOKUP($CZ199,'Audit Values'!$A$2:$AE$439,2,FALSE)),'Preliminary SO66'!H196,VLOOKUP($CZ199,'Audit Values'!$A$2:$AE$439,8,FALSE))</f>
        <v>475</v>
      </c>
      <c r="AC199" s="1">
        <f>ROUND(AB199*Weightings!$M$8,1)</f>
        <v>216.6</v>
      </c>
      <c r="AD199" s="1">
        <f t="shared" si="249"/>
        <v>49.9</v>
      </c>
      <c r="AE199" s="185">
        <v>23</v>
      </c>
      <c r="AF199" s="1">
        <f>AE199*Weightings!$M$9</f>
        <v>1.1000000000000001</v>
      </c>
      <c r="AG199" s="1">
        <f>IF(ISNA(VLOOKUP($CZ199,'Audit Values'!$A$2:$AE$439,2,FALSE)),'Preliminary SO66'!L196,VLOOKUP($CZ199,'Audit Values'!$A$2:$AE$439,12,FALSE))</f>
        <v>0</v>
      </c>
      <c r="AH199" s="1">
        <f>ROUND(AG199*Weightings!$M$10,1)</f>
        <v>0</v>
      </c>
      <c r="AI199" s="1">
        <f>IF(ISNA(VLOOKUP($CZ199,'Audit Values'!$A$2:$AE$439,2,FALSE)),'Preliminary SO66'!O196,VLOOKUP($CZ199,'Audit Values'!$A$2:$AE$439,15,FALSE))</f>
        <v>39</v>
      </c>
      <c r="AJ199" s="1">
        <f t="shared" si="266"/>
        <v>13</v>
      </c>
      <c r="AK199" s="1">
        <f>CC199/Weightings!$M$5</f>
        <v>0</v>
      </c>
      <c r="AL199" s="1">
        <f>CD199/Weightings!$M$5</f>
        <v>0</v>
      </c>
      <c r="AM199" s="1">
        <f>CH199/Weightings!$M$5</f>
        <v>0</v>
      </c>
      <c r="AN199" s="1">
        <f t="shared" si="253"/>
        <v>31.5</v>
      </c>
      <c r="AO199" s="1">
        <f>IF(ISNA(VLOOKUP($CZ199,'Audit Values'!$A$2:$AE$439,2,FALSE)),'Preliminary SO66'!X196,VLOOKUP($CZ199,'Audit Values'!$A$2:$AE$439,24,FALSE))</f>
        <v>2</v>
      </c>
      <c r="AP199" s="188">
        <v>883821</v>
      </c>
      <c r="AQ199" s="113">
        <f>AP199/Weightings!$M$5</f>
        <v>230.3</v>
      </c>
      <c r="AR199" s="113">
        <f t="shared" si="267"/>
        <v>1369.8</v>
      </c>
      <c r="AS199" s="1">
        <f t="shared" si="268"/>
        <v>1600.1</v>
      </c>
      <c r="AT199" s="1">
        <f t="shared" si="269"/>
        <v>1600.1</v>
      </c>
      <c r="AU199" s="2">
        <f t="shared" si="283"/>
        <v>0</v>
      </c>
      <c r="AV199" s="82">
        <f>IF(ISNA(VLOOKUP($CZ199,'Audit Values'!$A$2:$AC$360,2,FALSE)),"",IF(AND(Weightings!H199&gt;0,VLOOKUP($CZ199,'Audit Values'!$A$2:$AC$360,29,FALSE)&lt;Weightings!H199),Weightings!H199,VLOOKUP($CZ199,'Audit Values'!$A$2:$AC$360,29,FALSE)))</f>
        <v>15</v>
      </c>
      <c r="AW199" s="82" t="str">
        <f>IF(ISNA(VLOOKUP($CZ199,'Audit Values'!$A$2:$AD$360,2,FALSE)),"",VLOOKUP($CZ199,'Audit Values'!$A$2:$AD$360,30,FALSE))</f>
        <v>A</v>
      </c>
      <c r="AX199" s="82" t="str">
        <f>IF(Weightings!G199="","",IF(Weightings!I199="Pending","PX","R"))</f>
        <v/>
      </c>
      <c r="AY199" s="114">
        <f>AR199*Weightings!$M$5+AU199</f>
        <v>5257292</v>
      </c>
      <c r="AZ199" s="2">
        <f>AT199*Weightings!$M$5+AU199</f>
        <v>6141184</v>
      </c>
      <c r="BA199" s="2">
        <f>IF(Weightings!G199&gt;0,Weightings!G199,'Preliminary SO66'!AB196)</f>
        <v>6526135</v>
      </c>
      <c r="BB199" s="2">
        <f t="shared" si="270"/>
        <v>6141184</v>
      </c>
      <c r="BC199" s="124"/>
      <c r="BD199" s="124">
        <f>Weightings!E199</f>
        <v>0</v>
      </c>
      <c r="BE199" s="124">
        <f>Weightings!F199</f>
        <v>0</v>
      </c>
      <c r="BF199" s="2">
        <f t="shared" si="271"/>
        <v>0</v>
      </c>
      <c r="BG199" s="2">
        <f t="shared" si="272"/>
        <v>6141184</v>
      </c>
      <c r="BH199" s="2">
        <f>MAX(ROUND(((AR199-AO199)*4433)+AP199,0),ROUND(((AR199-AO199)*4433)+Weightings!B199,0))</f>
        <v>6947278</v>
      </c>
      <c r="BI199" s="174">
        <v>0.3</v>
      </c>
      <c r="BJ199" s="2">
        <f t="shared" si="245"/>
        <v>2084183</v>
      </c>
      <c r="BK199" s="173">
        <v>1575000</v>
      </c>
      <c r="BL199" s="2">
        <f t="shared" si="246"/>
        <v>1575000</v>
      </c>
      <c r="BM199" s="3">
        <f t="shared" si="284"/>
        <v>0.22670000000000001</v>
      </c>
      <c r="BN199" s="1">
        <f t="shared" si="273"/>
        <v>0</v>
      </c>
      <c r="BO199" s="4" t="b">
        <f t="shared" si="274"/>
        <v>0</v>
      </c>
      <c r="BP199" s="5">
        <f t="shared" si="275"/>
        <v>0</v>
      </c>
      <c r="BQ199" s="6">
        <f t="shared" si="247"/>
        <v>0</v>
      </c>
      <c r="BR199" s="4">
        <f t="shared" si="276"/>
        <v>0</v>
      </c>
      <c r="BS199" s="4" t="b">
        <f t="shared" si="277"/>
        <v>1</v>
      </c>
      <c r="BT199" s="4">
        <f t="shared" si="278"/>
        <v>569.86879999999996</v>
      </c>
      <c r="BU199" s="6">
        <f t="shared" si="248"/>
        <v>0.32773200000000002</v>
      </c>
      <c r="BV199" s="1">
        <f t="shared" si="279"/>
        <v>249.2</v>
      </c>
      <c r="BW199" s="1">
        <f t="shared" si="280"/>
        <v>0</v>
      </c>
      <c r="BX199" s="116">
        <v>116</v>
      </c>
      <c r="BY199" s="7">
        <f t="shared" si="285"/>
        <v>0.34</v>
      </c>
      <c r="BZ199" s="7">
        <f>IF(ROUND((Weightings!$P$5*BY199^Weightings!$P$6*Weightings!$P$8 ),2)&lt;Weightings!$P$7,Weightings!$P$7,ROUND((Weightings!$P$5*BY199^Weightings!$P$6*Weightings!$P$8 ),2))</f>
        <v>1281.8699999999999</v>
      </c>
      <c r="CA199" s="8">
        <f>ROUND(BZ199/Weightings!$M$5,4)</f>
        <v>0.33400000000000002</v>
      </c>
      <c r="CB199" s="1">
        <f t="shared" si="286"/>
        <v>13</v>
      </c>
      <c r="CC199" s="173">
        <v>0</v>
      </c>
      <c r="CD199" s="173">
        <v>0</v>
      </c>
      <c r="CE199" s="173">
        <v>0</v>
      </c>
      <c r="CF199" s="177">
        <v>0</v>
      </c>
      <c r="CG199" s="2">
        <f>AS199*Weightings!$M$5*CF199</f>
        <v>0</v>
      </c>
      <c r="CH199" s="2">
        <f t="shared" si="250"/>
        <v>0</v>
      </c>
      <c r="CI199" s="117">
        <f t="shared" si="281"/>
        <v>0.625</v>
      </c>
      <c r="CJ199" s="4">
        <f t="shared" si="282"/>
        <v>6.6</v>
      </c>
      <c r="CK199" s="1">
        <f t="shared" si="287"/>
        <v>49.9</v>
      </c>
      <c r="CL199" s="1">
        <f t="shared" si="288"/>
        <v>0</v>
      </c>
      <c r="CM199" s="1">
        <f t="shared" si="289"/>
        <v>0</v>
      </c>
      <c r="CN199" s="1">
        <f>IF(ISNA(VLOOKUP($CZ199,'Audit Values'!$A$2:$AE$439,2,FALSE)),'Preliminary SO66'!T196,VLOOKUP($CZ199,'Audit Values'!$A$2:$AE$439,20,FALSE))</f>
        <v>30</v>
      </c>
      <c r="CO199" s="1">
        <f t="shared" si="254"/>
        <v>31.5</v>
      </c>
      <c r="CP199" s="183">
        <v>0</v>
      </c>
      <c r="CQ199" s="1">
        <f t="shared" si="255"/>
        <v>0</v>
      </c>
      <c r="CR199" s="2">
        <f>IF(ISNA(VLOOKUP($CZ199,'Audit Values'!$A$2:$AE$439,2,FALSE)),'Preliminary SO66'!V196,VLOOKUP($CZ199,'Audit Values'!$A$2:$AE$439,22,FALSE))</f>
        <v>0</v>
      </c>
      <c r="CS199" s="1">
        <f t="shared" si="256"/>
        <v>0</v>
      </c>
      <c r="CT199" s="2">
        <f>IF(ISNA(VLOOKUP($CZ199,'Audit Values'!$A$2:$AE$439,2,FALSE)),'Preliminary SO66'!W196,VLOOKUP($CZ199,'Audit Values'!$A$2:$AE$439,23,FALSE))</f>
        <v>0</v>
      </c>
      <c r="CU199" s="1">
        <f t="shared" si="243"/>
        <v>0</v>
      </c>
      <c r="CV199" s="1">
        <f t="shared" si="244"/>
        <v>31.5</v>
      </c>
      <c r="CW199" s="176">
        <v>0</v>
      </c>
      <c r="CX199" s="2">
        <f>IF(CW199&gt;0,Weightings!$M$11*AR199,0)</f>
        <v>0</v>
      </c>
      <c r="CY199" s="2">
        <f t="shared" si="290"/>
        <v>0</v>
      </c>
      <c r="CZ199" s="108" t="s">
        <v>491</v>
      </c>
    </row>
    <row r="200" spans="1:104">
      <c r="A200" s="82">
        <v>407</v>
      </c>
      <c r="B200" s="4" t="s">
        <v>92</v>
      </c>
      <c r="C200" s="4" t="s">
        <v>826</v>
      </c>
      <c r="D200" s="1">
        <v>773.5</v>
      </c>
      <c r="E200" s="1">
        <v>0</v>
      </c>
      <c r="F200" s="1">
        <f t="shared" si="240"/>
        <v>773.5</v>
      </c>
      <c r="G200" s="1">
        <v>772.5</v>
      </c>
      <c r="H200" s="1">
        <v>0</v>
      </c>
      <c r="I200" s="1">
        <f t="shared" si="257"/>
        <v>772.5</v>
      </c>
      <c r="J200" s="1">
        <f t="shared" si="258"/>
        <v>778.5</v>
      </c>
      <c r="K200" s="1">
        <f>IF(ISNA(VLOOKUP($CZ200,'Audit Values'!$A$2:$AE$439,2,FALSE)),'Preliminary SO66'!B197,VLOOKUP($CZ200,'Audit Values'!$A$2:$AE$439,31,FALSE))</f>
        <v>778.5</v>
      </c>
      <c r="L200" s="1">
        <f t="shared" si="259"/>
        <v>778.5</v>
      </c>
      <c r="M200" s="1">
        <f>IF(ISNA(VLOOKUP($CZ200,'Audit Values'!$A$2:$AE$439,2,FALSE)),'Preliminary SO66'!Z197,VLOOKUP($CZ200,'Audit Values'!$A$2:$AE$439,26,FALSE))</f>
        <v>0</v>
      </c>
      <c r="N200" s="1">
        <f t="shared" si="260"/>
        <v>778.5</v>
      </c>
      <c r="O200" s="1">
        <f>IF(ISNA(VLOOKUP($CZ200,'Audit Values'!$A$2:$AE$439,2,FALSE)),'Preliminary SO66'!C197,IF(VLOOKUP($CZ200,'Audit Values'!$A$2:$AE$439,28,FALSE)="",VLOOKUP($CZ200,'Audit Values'!$A$2:$AE$439,3,FALSE),VLOOKUP($CZ200,'Audit Values'!$A$2:$AE$439,28,FALSE)))</f>
        <v>0</v>
      </c>
      <c r="P200" s="109">
        <f t="shared" si="261"/>
        <v>778.5</v>
      </c>
      <c r="Q200" s="110">
        <f t="shared" si="262"/>
        <v>778.5</v>
      </c>
      <c r="R200" s="111">
        <f t="shared" si="263"/>
        <v>778.5</v>
      </c>
      <c r="S200" s="1">
        <f t="shared" si="264"/>
        <v>778.5</v>
      </c>
      <c r="T200" s="1">
        <f t="shared" si="239"/>
        <v>0</v>
      </c>
      <c r="U200" s="1">
        <f t="shared" si="265"/>
        <v>250.4</v>
      </c>
      <c r="V200" s="1">
        <f t="shared" si="251"/>
        <v>250.4</v>
      </c>
      <c r="W200" s="1">
        <f t="shared" si="252"/>
        <v>0</v>
      </c>
      <c r="X200" s="1">
        <f>IF(ISNA(VLOOKUP($CZ200,'Audit Values'!$A$2:$AE$439,2,FALSE)),'Preliminary SO66'!D197,VLOOKUP($CZ200,'Audit Values'!$A$2:$AE$439,4,FALSE))</f>
        <v>122.2</v>
      </c>
      <c r="Y200" s="1">
        <f>ROUND((X200/6)*Weightings!$M$6,1)</f>
        <v>10.199999999999999</v>
      </c>
      <c r="Z200" s="1">
        <f>IF(ISNA(VLOOKUP($CZ200,'Audit Values'!$A$2:$AE$439,2,FALSE)),'Preliminary SO66'!F197,VLOOKUP($CZ200,'Audit Values'!$A$2:$AE$439,6,FALSE))</f>
        <v>0</v>
      </c>
      <c r="AA200" s="1">
        <f>ROUND((Z200/6)*Weightings!$M$7,1)</f>
        <v>0</v>
      </c>
      <c r="AB200" s="2">
        <f>IF(ISNA(VLOOKUP($CZ200,'Audit Values'!$A$2:$AE$439,2,FALSE)),'Preliminary SO66'!H197,VLOOKUP($CZ200,'Audit Values'!$A$2:$AE$439,8,FALSE))</f>
        <v>307</v>
      </c>
      <c r="AC200" s="1">
        <f>ROUND(AB200*Weightings!$M$8,1)</f>
        <v>140</v>
      </c>
      <c r="AD200" s="1">
        <f t="shared" si="249"/>
        <v>9.5</v>
      </c>
      <c r="AE200" s="185">
        <v>53</v>
      </c>
      <c r="AF200" s="1">
        <f>AE200*Weightings!$M$9</f>
        <v>2.5</v>
      </c>
      <c r="AG200" s="1">
        <f>IF(ISNA(VLOOKUP($CZ200,'Audit Values'!$A$2:$AE$439,2,FALSE)),'Preliminary SO66'!L197,VLOOKUP($CZ200,'Audit Values'!$A$2:$AE$439,12,FALSE))</f>
        <v>0</v>
      </c>
      <c r="AH200" s="1">
        <f>ROUND(AG200*Weightings!$M$10,1)</f>
        <v>0</v>
      </c>
      <c r="AI200" s="1">
        <f>IF(ISNA(VLOOKUP($CZ200,'Audit Values'!$A$2:$AE$439,2,FALSE)),'Preliminary SO66'!O197,VLOOKUP($CZ200,'Audit Values'!$A$2:$AE$439,15,FALSE))</f>
        <v>114</v>
      </c>
      <c r="AJ200" s="1">
        <f t="shared" si="266"/>
        <v>41.6</v>
      </c>
      <c r="AK200" s="1">
        <f>CC200/Weightings!$M$5</f>
        <v>0</v>
      </c>
      <c r="AL200" s="1">
        <f>CD200/Weightings!$M$5</f>
        <v>0</v>
      </c>
      <c r="AM200" s="1">
        <f>CH200/Weightings!$M$5</f>
        <v>0</v>
      </c>
      <c r="AN200" s="1">
        <f t="shared" si="253"/>
        <v>0</v>
      </c>
      <c r="AO200" s="1">
        <f>IF(ISNA(VLOOKUP($CZ200,'Audit Values'!$A$2:$AE$439,2,FALSE)),'Preliminary SO66'!X197,VLOOKUP($CZ200,'Audit Values'!$A$2:$AE$439,24,FALSE))</f>
        <v>1</v>
      </c>
      <c r="AP200" s="188">
        <v>777362</v>
      </c>
      <c r="AQ200" s="113">
        <f>AP200/Weightings!$M$5</f>
        <v>202.5</v>
      </c>
      <c r="AR200" s="113">
        <f t="shared" si="267"/>
        <v>1233.7</v>
      </c>
      <c r="AS200" s="1">
        <f t="shared" si="268"/>
        <v>1436.2</v>
      </c>
      <c r="AT200" s="1">
        <f t="shared" si="269"/>
        <v>1436.2</v>
      </c>
      <c r="AU200" s="2">
        <f t="shared" si="283"/>
        <v>50000</v>
      </c>
      <c r="AV200" s="82">
        <f>IF(ISNA(VLOOKUP($CZ200,'Audit Values'!$A$2:$AC$360,2,FALSE)),"",IF(AND(Weightings!H200&gt;0,VLOOKUP($CZ200,'Audit Values'!$A$2:$AC$360,29,FALSE)&lt;Weightings!H200),Weightings!H200,VLOOKUP($CZ200,'Audit Values'!$A$2:$AC$360,29,FALSE)))</f>
        <v>9</v>
      </c>
      <c r="AW200" s="82" t="str">
        <f>IF(ISNA(VLOOKUP($CZ200,'Audit Values'!$A$2:$AD$360,2,FALSE)),"",VLOOKUP($CZ200,'Audit Values'!$A$2:$AD$360,30,FALSE))</f>
        <v>A</v>
      </c>
      <c r="AX200" s="82" t="str">
        <f>IF(Weightings!G200="","",IF(Weightings!I200="Pending","PX","R"))</f>
        <v/>
      </c>
      <c r="AY200" s="114">
        <f>AR200*Weightings!$M$5+AU200</f>
        <v>4784941</v>
      </c>
      <c r="AZ200" s="2">
        <f>AT200*Weightings!$M$5+AU200</f>
        <v>5562136</v>
      </c>
      <c r="BA200" s="2">
        <f>IF(Weightings!G200&gt;0,Weightings!G200,'Preliminary SO66'!AB197)</f>
        <v>5593607</v>
      </c>
      <c r="BB200" s="2">
        <f t="shared" si="270"/>
        <v>5562136</v>
      </c>
      <c r="BC200" s="124"/>
      <c r="BD200" s="124">
        <f>Weightings!E200</f>
        <v>0</v>
      </c>
      <c r="BE200" s="124">
        <f>Weightings!F200</f>
        <v>0</v>
      </c>
      <c r="BF200" s="2">
        <f t="shared" si="271"/>
        <v>0</v>
      </c>
      <c r="BG200" s="2">
        <f t="shared" si="272"/>
        <v>5562136</v>
      </c>
      <c r="BH200" s="2">
        <f>MAX(ROUND(((AR200-AO200)*4433)+AP200,0),ROUND(((AR200-AO200)*4433)+Weightings!B200,0))</f>
        <v>6297690</v>
      </c>
      <c r="BI200" s="174">
        <v>0.31</v>
      </c>
      <c r="BJ200" s="2">
        <f t="shared" si="245"/>
        <v>1952284</v>
      </c>
      <c r="BK200" s="173">
        <v>1962178</v>
      </c>
      <c r="BL200" s="2">
        <f t="shared" si="246"/>
        <v>1952284</v>
      </c>
      <c r="BM200" s="3">
        <f t="shared" si="284"/>
        <v>0.31</v>
      </c>
      <c r="BN200" s="1">
        <f t="shared" si="273"/>
        <v>0</v>
      </c>
      <c r="BO200" s="4" t="b">
        <f t="shared" si="274"/>
        <v>0</v>
      </c>
      <c r="BP200" s="5">
        <f t="shared" si="275"/>
        <v>0</v>
      </c>
      <c r="BQ200" s="6">
        <f t="shared" si="247"/>
        <v>0</v>
      </c>
      <c r="BR200" s="4">
        <f t="shared" si="276"/>
        <v>0</v>
      </c>
      <c r="BS200" s="4" t="b">
        <f t="shared" si="277"/>
        <v>1</v>
      </c>
      <c r="BT200" s="4">
        <f t="shared" si="278"/>
        <v>592.14380000000006</v>
      </c>
      <c r="BU200" s="6">
        <f t="shared" si="248"/>
        <v>0.32161699999999999</v>
      </c>
      <c r="BV200" s="1">
        <f t="shared" si="279"/>
        <v>250.4</v>
      </c>
      <c r="BW200" s="1">
        <f t="shared" si="280"/>
        <v>0</v>
      </c>
      <c r="BX200" s="116">
        <v>489</v>
      </c>
      <c r="BY200" s="7">
        <f t="shared" si="285"/>
        <v>0.23</v>
      </c>
      <c r="BZ200" s="7">
        <f>IF(ROUND((Weightings!$P$5*BY200^Weightings!$P$6*Weightings!$P$8 ),2)&lt;Weightings!$P$7,Weightings!$P$7,ROUND((Weightings!$P$5*BY200^Weightings!$P$6*Weightings!$P$8 ),2))</f>
        <v>1401.41</v>
      </c>
      <c r="CA200" s="8">
        <f>ROUND(BZ200/Weightings!$M$5,4)</f>
        <v>0.36509999999999998</v>
      </c>
      <c r="CB200" s="1">
        <f t="shared" si="286"/>
        <v>41.6</v>
      </c>
      <c r="CC200" s="173">
        <v>0</v>
      </c>
      <c r="CD200" s="173">
        <v>0</v>
      </c>
      <c r="CE200" s="173">
        <v>0</v>
      </c>
      <c r="CF200" s="177">
        <v>0</v>
      </c>
      <c r="CG200" s="2">
        <f>AS200*Weightings!$M$5*CF200</f>
        <v>0</v>
      </c>
      <c r="CH200" s="2">
        <f t="shared" si="250"/>
        <v>0</v>
      </c>
      <c r="CI200" s="117">
        <f t="shared" si="281"/>
        <v>0.39400000000000002</v>
      </c>
      <c r="CJ200" s="4">
        <f t="shared" si="282"/>
        <v>1.6</v>
      </c>
      <c r="CK200" s="1">
        <f t="shared" si="287"/>
        <v>0</v>
      </c>
      <c r="CL200" s="1">
        <f t="shared" si="288"/>
        <v>0</v>
      </c>
      <c r="CM200" s="1">
        <f t="shared" si="289"/>
        <v>9.5</v>
      </c>
      <c r="CN200" s="1">
        <f>IF(ISNA(VLOOKUP($CZ200,'Audit Values'!$A$2:$AE$439,2,FALSE)),'Preliminary SO66'!T197,VLOOKUP($CZ200,'Audit Values'!$A$2:$AE$439,20,FALSE))</f>
        <v>0</v>
      </c>
      <c r="CO200" s="1">
        <f t="shared" si="254"/>
        <v>0</v>
      </c>
      <c r="CP200" s="183">
        <v>0</v>
      </c>
      <c r="CQ200" s="1">
        <f t="shared" si="255"/>
        <v>0</v>
      </c>
      <c r="CR200" s="2">
        <f>IF(ISNA(VLOOKUP($CZ200,'Audit Values'!$A$2:$AE$439,2,FALSE)),'Preliminary SO66'!V197,VLOOKUP($CZ200,'Audit Values'!$A$2:$AE$439,22,FALSE))</f>
        <v>0</v>
      </c>
      <c r="CS200" s="1">
        <f t="shared" si="256"/>
        <v>0</v>
      </c>
      <c r="CT200" s="2">
        <f>IF(ISNA(VLOOKUP($CZ200,'Audit Values'!$A$2:$AE$439,2,FALSE)),'Preliminary SO66'!W197,VLOOKUP($CZ200,'Audit Values'!$A$2:$AE$439,23,FALSE))</f>
        <v>0</v>
      </c>
      <c r="CU200" s="1">
        <f t="shared" ref="CU200:CU215" si="291">CT200*0.08</f>
        <v>0</v>
      </c>
      <c r="CV200" s="1">
        <f t="shared" ref="CV200:CV215" si="292">CO200+CQ200+CS200+CU200</f>
        <v>0</v>
      </c>
      <c r="CW200" s="176">
        <v>50000</v>
      </c>
      <c r="CX200" s="2">
        <f>IF(CW200&gt;0,Weightings!$M$11*AR200,0)</f>
        <v>308425</v>
      </c>
      <c r="CY200" s="2">
        <f t="shared" si="290"/>
        <v>50000</v>
      </c>
      <c r="CZ200" s="108" t="s">
        <v>492</v>
      </c>
    </row>
    <row r="201" spans="1:104">
      <c r="A201" s="82">
        <v>408</v>
      </c>
      <c r="B201" s="4" t="s">
        <v>91</v>
      </c>
      <c r="C201" s="4" t="s">
        <v>827</v>
      </c>
      <c r="D201" s="1">
        <v>531.1</v>
      </c>
      <c r="E201" s="1">
        <v>0</v>
      </c>
      <c r="F201" s="1">
        <f t="shared" si="240"/>
        <v>531.1</v>
      </c>
      <c r="G201" s="1">
        <v>534.1</v>
      </c>
      <c r="H201" s="1">
        <v>0</v>
      </c>
      <c r="I201" s="1">
        <f t="shared" si="257"/>
        <v>534.1</v>
      </c>
      <c r="J201" s="1">
        <f t="shared" si="258"/>
        <v>500.4</v>
      </c>
      <c r="K201" s="1">
        <f>IF(ISNA(VLOOKUP($CZ201,'Audit Values'!$A$2:$AE$439,2,FALSE)),'Preliminary SO66'!B198,VLOOKUP($CZ201,'Audit Values'!$A$2:$AE$439,31,FALSE))</f>
        <v>500.4</v>
      </c>
      <c r="L201" s="1">
        <f t="shared" si="259"/>
        <v>534.1</v>
      </c>
      <c r="M201" s="1">
        <f>IF(ISNA(VLOOKUP($CZ201,'Audit Values'!$A$2:$AE$439,2,FALSE)),'Preliminary SO66'!Z198,VLOOKUP($CZ201,'Audit Values'!$A$2:$AE$439,26,FALSE))</f>
        <v>0</v>
      </c>
      <c r="N201" s="1">
        <f t="shared" si="260"/>
        <v>534.1</v>
      </c>
      <c r="O201" s="1">
        <f>IF(ISNA(VLOOKUP($CZ201,'Audit Values'!$A$2:$AE$439,2,FALSE)),'Preliminary SO66'!C198,IF(VLOOKUP($CZ201,'Audit Values'!$A$2:$AE$439,28,FALSE)="",VLOOKUP($CZ201,'Audit Values'!$A$2:$AE$439,3,FALSE),VLOOKUP($CZ201,'Audit Values'!$A$2:$AE$439,28,FALSE)))</f>
        <v>0</v>
      </c>
      <c r="P201" s="109">
        <f t="shared" si="261"/>
        <v>500.4</v>
      </c>
      <c r="Q201" s="110">
        <f t="shared" si="262"/>
        <v>500.4</v>
      </c>
      <c r="R201" s="111">
        <f t="shared" si="263"/>
        <v>500.4</v>
      </c>
      <c r="S201" s="1">
        <f t="shared" si="264"/>
        <v>534.1</v>
      </c>
      <c r="T201" s="1">
        <f t="shared" si="239"/>
        <v>0</v>
      </c>
      <c r="U201" s="1">
        <f t="shared" si="265"/>
        <v>216.1</v>
      </c>
      <c r="V201" s="1">
        <f t="shared" si="251"/>
        <v>216.1</v>
      </c>
      <c r="W201" s="1">
        <f t="shared" si="252"/>
        <v>0</v>
      </c>
      <c r="X201" s="1">
        <f>IF(ISNA(VLOOKUP($CZ201,'Audit Values'!$A$2:$AE$439,2,FALSE)),'Preliminary SO66'!D198,VLOOKUP($CZ201,'Audit Values'!$A$2:$AE$439,4,FALSE))</f>
        <v>222.3</v>
      </c>
      <c r="Y201" s="1">
        <f>ROUND((X201/6)*Weightings!$M$6,1)</f>
        <v>18.5</v>
      </c>
      <c r="Z201" s="1">
        <f>IF(ISNA(VLOOKUP($CZ201,'Audit Values'!$A$2:$AE$439,2,FALSE)),'Preliminary SO66'!F198,VLOOKUP($CZ201,'Audit Values'!$A$2:$AE$439,6,FALSE))</f>
        <v>0</v>
      </c>
      <c r="AA201" s="1">
        <f>ROUND((Z201/6)*Weightings!$M$7,1)</f>
        <v>0</v>
      </c>
      <c r="AB201" s="2">
        <f>IF(ISNA(VLOOKUP($CZ201,'Audit Values'!$A$2:$AE$439,2,FALSE)),'Preliminary SO66'!H198,VLOOKUP($CZ201,'Audit Values'!$A$2:$AE$439,8,FALSE))</f>
        <v>189</v>
      </c>
      <c r="AC201" s="1">
        <f>ROUND(AB201*Weightings!$M$8,1)</f>
        <v>86.2</v>
      </c>
      <c r="AD201" s="1">
        <f t="shared" si="249"/>
        <v>0.5</v>
      </c>
      <c r="AE201" s="185">
        <v>28</v>
      </c>
      <c r="AF201" s="1">
        <f>AE201*Weightings!$M$9</f>
        <v>1.3</v>
      </c>
      <c r="AG201" s="1">
        <f>IF(ISNA(VLOOKUP($CZ201,'Audit Values'!$A$2:$AE$439,2,FALSE)),'Preliminary SO66'!L198,VLOOKUP($CZ201,'Audit Values'!$A$2:$AE$439,12,FALSE))</f>
        <v>0</v>
      </c>
      <c r="AH201" s="1">
        <f>ROUND(AG201*Weightings!$M$10,1)</f>
        <v>0</v>
      </c>
      <c r="AI201" s="1">
        <f>IF(ISNA(VLOOKUP($CZ201,'Audit Values'!$A$2:$AE$439,2,FALSE)),'Preliminary SO66'!O198,VLOOKUP($CZ201,'Audit Values'!$A$2:$AE$439,15,FALSE))</f>
        <v>140</v>
      </c>
      <c r="AJ201" s="1">
        <f t="shared" si="266"/>
        <v>41.2</v>
      </c>
      <c r="AK201" s="1">
        <f>CC201/Weightings!$M$5</f>
        <v>0</v>
      </c>
      <c r="AL201" s="1">
        <f>CD201/Weightings!$M$5</f>
        <v>0</v>
      </c>
      <c r="AM201" s="1">
        <f>CH201/Weightings!$M$5</f>
        <v>0</v>
      </c>
      <c r="AN201" s="1">
        <f t="shared" si="253"/>
        <v>0</v>
      </c>
      <c r="AO201" s="1">
        <f>IF(ISNA(VLOOKUP($CZ201,'Audit Values'!$A$2:$AE$439,2,FALSE)),'Preliminary SO66'!X198,VLOOKUP($CZ201,'Audit Values'!$A$2:$AE$439,24,FALSE))</f>
        <v>0</v>
      </c>
      <c r="AP201" s="188">
        <v>701047</v>
      </c>
      <c r="AQ201" s="113">
        <f>AP201/Weightings!$M$5</f>
        <v>182.7</v>
      </c>
      <c r="AR201" s="113">
        <f t="shared" si="267"/>
        <v>897.9</v>
      </c>
      <c r="AS201" s="1">
        <f t="shared" si="268"/>
        <v>1080.5999999999999</v>
      </c>
      <c r="AT201" s="1">
        <f t="shared" si="269"/>
        <v>1080.5999999999999</v>
      </c>
      <c r="AU201" s="2">
        <f t="shared" si="283"/>
        <v>0</v>
      </c>
      <c r="AV201" s="82">
        <f>IF(ISNA(VLOOKUP($CZ201,'Audit Values'!$A$2:$AC$360,2,FALSE)),"",IF(AND(Weightings!H201&gt;0,VLOOKUP($CZ201,'Audit Values'!$A$2:$AC$360,29,FALSE)&lt;Weightings!H201),Weightings!H201,VLOOKUP($CZ201,'Audit Values'!$A$2:$AC$360,29,FALSE)))</f>
        <v>24</v>
      </c>
      <c r="AW201" s="82" t="str">
        <f>IF(ISNA(VLOOKUP($CZ201,'Audit Values'!$A$2:$AD$360,2,FALSE)),"",VLOOKUP($CZ201,'Audit Values'!$A$2:$AD$360,30,FALSE))</f>
        <v>A</v>
      </c>
      <c r="AX201" s="82" t="str">
        <f>IF(Weightings!G201="","",IF(Weightings!I201="Pending","PX","R"))</f>
        <v/>
      </c>
      <c r="AY201" s="114">
        <f>AR201*Weightings!$M$5+AU201</f>
        <v>3446140</v>
      </c>
      <c r="AZ201" s="2">
        <f>AT201*Weightings!$M$5+AU201</f>
        <v>4147343</v>
      </c>
      <c r="BA201" s="2">
        <f>IF(Weightings!G201&gt;0,Weightings!G201,'Preliminary SO66'!AB198)</f>
        <v>4380309</v>
      </c>
      <c r="BB201" s="2">
        <f t="shared" si="270"/>
        <v>4147343</v>
      </c>
      <c r="BC201" s="124"/>
      <c r="BD201" s="124">
        <f>Weightings!E201</f>
        <v>0</v>
      </c>
      <c r="BE201" s="124">
        <f>Weightings!F201</f>
        <v>0</v>
      </c>
      <c r="BF201" s="2">
        <f t="shared" si="271"/>
        <v>0</v>
      </c>
      <c r="BG201" s="2">
        <f t="shared" si="272"/>
        <v>4147343</v>
      </c>
      <c r="BH201" s="2">
        <f>MAX(ROUND(((AR201-AO201)*4433)+AP201,0),ROUND(((AR201-AO201)*4433)+Weightings!B201,0))</f>
        <v>4713653</v>
      </c>
      <c r="BI201" s="174">
        <v>0.3</v>
      </c>
      <c r="BJ201" s="2">
        <f t="shared" si="245"/>
        <v>1414096</v>
      </c>
      <c r="BK201" s="173">
        <v>1145000</v>
      </c>
      <c r="BL201" s="2">
        <f t="shared" si="246"/>
        <v>1145000</v>
      </c>
      <c r="BM201" s="3">
        <f t="shared" si="284"/>
        <v>0.2429</v>
      </c>
      <c r="BN201" s="1">
        <f t="shared" si="273"/>
        <v>0</v>
      </c>
      <c r="BO201" s="4" t="b">
        <f t="shared" si="274"/>
        <v>0</v>
      </c>
      <c r="BP201" s="5">
        <f t="shared" si="275"/>
        <v>0</v>
      </c>
      <c r="BQ201" s="6">
        <f t="shared" si="247"/>
        <v>0</v>
      </c>
      <c r="BR201" s="4">
        <f t="shared" si="276"/>
        <v>0</v>
      </c>
      <c r="BS201" s="4" t="b">
        <f t="shared" si="277"/>
        <v>1</v>
      </c>
      <c r="BT201" s="4">
        <f t="shared" si="278"/>
        <v>289.69880000000001</v>
      </c>
      <c r="BU201" s="6">
        <f t="shared" si="248"/>
        <v>0.40465099999999998</v>
      </c>
      <c r="BV201" s="1">
        <f t="shared" si="279"/>
        <v>216.1</v>
      </c>
      <c r="BW201" s="1">
        <f t="shared" si="280"/>
        <v>0</v>
      </c>
      <c r="BX201" s="116">
        <v>237</v>
      </c>
      <c r="BY201" s="7">
        <f t="shared" si="285"/>
        <v>0.59</v>
      </c>
      <c r="BZ201" s="7">
        <f>IF(ROUND((Weightings!$P$5*BY201^Weightings!$P$6*Weightings!$P$8 ),2)&lt;Weightings!$P$7,Weightings!$P$7,ROUND((Weightings!$P$5*BY201^Weightings!$P$6*Weightings!$P$8 ),2))</f>
        <v>1130.43</v>
      </c>
      <c r="CA201" s="8">
        <f>ROUND(BZ201/Weightings!$M$5,4)</f>
        <v>0.29449999999999998</v>
      </c>
      <c r="CB201" s="1">
        <f t="shared" si="286"/>
        <v>41.2</v>
      </c>
      <c r="CC201" s="173">
        <v>0</v>
      </c>
      <c r="CD201" s="173">
        <v>0</v>
      </c>
      <c r="CE201" s="173">
        <v>0</v>
      </c>
      <c r="CF201" s="177">
        <v>0</v>
      </c>
      <c r="CG201" s="2">
        <f>AS201*Weightings!$M$5*CF201</f>
        <v>0</v>
      </c>
      <c r="CH201" s="2">
        <f t="shared" si="250"/>
        <v>0</v>
      </c>
      <c r="CI201" s="117">
        <f t="shared" si="281"/>
        <v>0.35399999999999998</v>
      </c>
      <c r="CJ201" s="4">
        <f t="shared" si="282"/>
        <v>2.2999999999999998</v>
      </c>
      <c r="CK201" s="1">
        <f t="shared" si="287"/>
        <v>0</v>
      </c>
      <c r="CL201" s="1">
        <f t="shared" si="288"/>
        <v>0</v>
      </c>
      <c r="CM201" s="1">
        <f t="shared" si="289"/>
        <v>0.5</v>
      </c>
      <c r="CN201" s="1">
        <f>IF(ISNA(VLOOKUP($CZ201,'Audit Values'!$A$2:$AE$439,2,FALSE)),'Preliminary SO66'!T198,VLOOKUP($CZ201,'Audit Values'!$A$2:$AE$439,20,FALSE))</f>
        <v>0</v>
      </c>
      <c r="CO201" s="1">
        <f t="shared" si="254"/>
        <v>0</v>
      </c>
      <c r="CP201" s="183">
        <v>0</v>
      </c>
      <c r="CQ201" s="1">
        <f t="shared" si="255"/>
        <v>0</v>
      </c>
      <c r="CR201" s="2">
        <f>IF(ISNA(VLOOKUP($CZ201,'Audit Values'!$A$2:$AE$439,2,FALSE)),'Preliminary SO66'!V198,VLOOKUP($CZ201,'Audit Values'!$A$2:$AE$439,22,FALSE))</f>
        <v>0</v>
      </c>
      <c r="CS201" s="1">
        <f t="shared" si="256"/>
        <v>0</v>
      </c>
      <c r="CT201" s="2">
        <f>IF(ISNA(VLOOKUP($CZ201,'Audit Values'!$A$2:$AE$439,2,FALSE)),'Preliminary SO66'!W198,VLOOKUP($CZ201,'Audit Values'!$A$2:$AE$439,23,FALSE))</f>
        <v>0</v>
      </c>
      <c r="CU201" s="1">
        <f t="shared" si="291"/>
        <v>0</v>
      </c>
      <c r="CV201" s="1">
        <f t="shared" si="292"/>
        <v>0</v>
      </c>
      <c r="CW201" s="176">
        <v>0</v>
      </c>
      <c r="CX201" s="2">
        <f>IF(CW201&gt;0,Weightings!$M$11*AR201,0)</f>
        <v>0</v>
      </c>
      <c r="CY201" s="2">
        <f t="shared" si="290"/>
        <v>0</v>
      </c>
      <c r="CZ201" s="108" t="s">
        <v>493</v>
      </c>
    </row>
    <row r="202" spans="1:104">
      <c r="A202" s="82">
        <v>409</v>
      </c>
      <c r="B202" s="4" t="s">
        <v>79</v>
      </c>
      <c r="C202" s="4" t="s">
        <v>828</v>
      </c>
      <c r="D202" s="1">
        <v>1600.8</v>
      </c>
      <c r="E202" s="1">
        <v>0</v>
      </c>
      <c r="F202" s="1">
        <f t="shared" si="240"/>
        <v>1600.8</v>
      </c>
      <c r="G202" s="1">
        <v>1584</v>
      </c>
      <c r="H202" s="1">
        <v>0</v>
      </c>
      <c r="I202" s="1">
        <f t="shared" si="257"/>
        <v>1584</v>
      </c>
      <c r="J202" s="1">
        <f t="shared" si="258"/>
        <v>1546.4</v>
      </c>
      <c r="K202" s="1">
        <f>IF(ISNA(VLOOKUP($CZ202,'Audit Values'!$A$2:$AE$439,2,FALSE)),'Preliminary SO66'!B199,VLOOKUP($CZ202,'Audit Values'!$A$2:$AE$439,31,FALSE))</f>
        <v>1546.4</v>
      </c>
      <c r="L202" s="1">
        <f t="shared" si="259"/>
        <v>1584</v>
      </c>
      <c r="M202" s="1">
        <f>IF(ISNA(VLOOKUP($CZ202,'Audit Values'!$A$2:$AE$439,2,FALSE)),'Preliminary SO66'!Z199,VLOOKUP($CZ202,'Audit Values'!$A$2:$AE$439,26,FALSE))</f>
        <v>0</v>
      </c>
      <c r="N202" s="1">
        <f t="shared" si="260"/>
        <v>1584</v>
      </c>
      <c r="O202" s="1">
        <f>IF(ISNA(VLOOKUP($CZ202,'Audit Values'!$A$2:$AE$439,2,FALSE)),'Preliminary SO66'!C199,IF(VLOOKUP($CZ202,'Audit Values'!$A$2:$AE$439,28,FALSE)="",VLOOKUP($CZ202,'Audit Values'!$A$2:$AE$439,3,FALSE),VLOOKUP($CZ202,'Audit Values'!$A$2:$AE$439,28,FALSE)))</f>
        <v>18</v>
      </c>
      <c r="P202" s="109">
        <f t="shared" si="261"/>
        <v>1564.4</v>
      </c>
      <c r="Q202" s="110">
        <f t="shared" si="262"/>
        <v>1564.4</v>
      </c>
      <c r="R202" s="111">
        <f t="shared" si="263"/>
        <v>1564.4</v>
      </c>
      <c r="S202" s="1">
        <f t="shared" si="264"/>
        <v>1602</v>
      </c>
      <c r="T202" s="1">
        <f t="shared" si="239"/>
        <v>0</v>
      </c>
      <c r="U202" s="1">
        <f t="shared" si="265"/>
        <v>67</v>
      </c>
      <c r="V202" s="1">
        <f t="shared" si="251"/>
        <v>67</v>
      </c>
      <c r="W202" s="1">
        <f t="shared" si="252"/>
        <v>0</v>
      </c>
      <c r="X202" s="1">
        <f>IF(ISNA(VLOOKUP($CZ202,'Audit Values'!$A$2:$AE$439,2,FALSE)),'Preliminary SO66'!D199,VLOOKUP($CZ202,'Audit Values'!$A$2:$AE$439,4,FALSE))</f>
        <v>182.1</v>
      </c>
      <c r="Y202" s="1">
        <f>ROUND((X202/6)*Weightings!$M$6,1)</f>
        <v>15.2</v>
      </c>
      <c r="Z202" s="1">
        <f>IF(ISNA(VLOOKUP($CZ202,'Audit Values'!$A$2:$AE$439,2,FALSE)),'Preliminary SO66'!F199,VLOOKUP($CZ202,'Audit Values'!$A$2:$AE$439,6,FALSE))</f>
        <v>0</v>
      </c>
      <c r="AA202" s="1">
        <f>ROUND((Z202/6)*Weightings!$M$7,1)</f>
        <v>0</v>
      </c>
      <c r="AB202" s="2">
        <f>IF(ISNA(VLOOKUP($CZ202,'Audit Values'!$A$2:$AE$439,2,FALSE)),'Preliminary SO66'!H199,VLOOKUP($CZ202,'Audit Values'!$A$2:$AE$439,8,FALSE))</f>
        <v>933</v>
      </c>
      <c r="AC202" s="1">
        <f>ROUND(AB202*Weightings!$M$8,1)</f>
        <v>425.4</v>
      </c>
      <c r="AD202" s="1">
        <f t="shared" si="249"/>
        <v>98</v>
      </c>
      <c r="AE202" s="185">
        <v>118</v>
      </c>
      <c r="AF202" s="1">
        <f>AE202*Weightings!$M$9</f>
        <v>5.5</v>
      </c>
      <c r="AG202" s="1">
        <f>IF(ISNA(VLOOKUP($CZ202,'Audit Values'!$A$2:$AE$439,2,FALSE)),'Preliminary SO66'!L199,VLOOKUP($CZ202,'Audit Values'!$A$2:$AE$439,12,FALSE))</f>
        <v>0</v>
      </c>
      <c r="AH202" s="1">
        <f>ROUND(AG202*Weightings!$M$10,1)</f>
        <v>0</v>
      </c>
      <c r="AI202" s="1">
        <f>IF(ISNA(VLOOKUP($CZ202,'Audit Values'!$A$2:$AE$439,2,FALSE)),'Preliminary SO66'!O199,VLOOKUP($CZ202,'Audit Values'!$A$2:$AE$439,15,FALSE))</f>
        <v>243</v>
      </c>
      <c r="AJ202" s="1">
        <f t="shared" si="266"/>
        <v>44.8</v>
      </c>
      <c r="AK202" s="1">
        <f>CC202/Weightings!$M$5</f>
        <v>0</v>
      </c>
      <c r="AL202" s="1">
        <f>CD202/Weightings!$M$5</f>
        <v>0</v>
      </c>
      <c r="AM202" s="1">
        <f>CH202/Weightings!$M$5</f>
        <v>0</v>
      </c>
      <c r="AN202" s="1">
        <f t="shared" si="253"/>
        <v>0</v>
      </c>
      <c r="AO202" s="1">
        <f>IF(ISNA(VLOOKUP($CZ202,'Audit Values'!$A$2:$AE$439,2,FALSE)),'Preliminary SO66'!X199,VLOOKUP($CZ202,'Audit Values'!$A$2:$AE$439,24,FALSE))</f>
        <v>0</v>
      </c>
      <c r="AP202" s="188">
        <v>1885158</v>
      </c>
      <c r="AQ202" s="113">
        <f>AP202/Weightings!$M$5</f>
        <v>491.2</v>
      </c>
      <c r="AR202" s="113">
        <f t="shared" si="267"/>
        <v>2257.9</v>
      </c>
      <c r="AS202" s="1">
        <f t="shared" si="268"/>
        <v>2749.1</v>
      </c>
      <c r="AT202" s="1">
        <f t="shared" si="269"/>
        <v>2749.1</v>
      </c>
      <c r="AU202" s="2">
        <f t="shared" si="283"/>
        <v>0</v>
      </c>
      <c r="AV202" s="82">
        <f>IF(ISNA(VLOOKUP($CZ202,'Audit Values'!$A$2:$AC$360,2,FALSE)),"",IF(AND(Weightings!H202&gt;0,VLOOKUP($CZ202,'Audit Values'!$A$2:$AC$360,29,FALSE)&lt;Weightings!H202),Weightings!H202,VLOOKUP($CZ202,'Audit Values'!$A$2:$AC$360,29,FALSE)))</f>
        <v>15</v>
      </c>
      <c r="AW202" s="82" t="str">
        <f>IF(ISNA(VLOOKUP($CZ202,'Audit Values'!$A$2:$AD$360,2,FALSE)),"",VLOOKUP($CZ202,'Audit Values'!$A$2:$AD$360,30,FALSE))</f>
        <v>A</v>
      </c>
      <c r="AX202" s="82" t="str">
        <f>IF(Weightings!G202="","",IF(Weightings!I202="Pending","PX","R"))</f>
        <v/>
      </c>
      <c r="AY202" s="114">
        <f>AR202*Weightings!$M$5+AU202</f>
        <v>8665820</v>
      </c>
      <c r="AZ202" s="2">
        <f>AT202*Weightings!$M$5+AU202</f>
        <v>10551046</v>
      </c>
      <c r="BA202" s="2">
        <f>IF(Weightings!G202&gt;0,Weightings!G202,'Preliminary SO66'!AB199)</f>
        <v>10634330</v>
      </c>
      <c r="BB202" s="2">
        <f t="shared" si="270"/>
        <v>10551046</v>
      </c>
      <c r="BC202" s="124"/>
      <c r="BD202" s="124">
        <f>Weightings!E202</f>
        <v>0</v>
      </c>
      <c r="BE202" s="124">
        <f>Weightings!F202</f>
        <v>0</v>
      </c>
      <c r="BF202" s="2">
        <f t="shared" si="271"/>
        <v>0</v>
      </c>
      <c r="BG202" s="2">
        <f t="shared" si="272"/>
        <v>10551046</v>
      </c>
      <c r="BH202" s="2">
        <f>MAX(ROUND(((AR202-AO202)*4433)+AP202,0),ROUND(((AR202-AO202)*4433)+Weightings!B202,0))</f>
        <v>11894429</v>
      </c>
      <c r="BI202" s="174">
        <v>0.3</v>
      </c>
      <c r="BJ202" s="2">
        <f t="shared" si="245"/>
        <v>3568329</v>
      </c>
      <c r="BK202" s="173">
        <v>3594953</v>
      </c>
      <c r="BL202" s="2">
        <f t="shared" si="246"/>
        <v>3568329</v>
      </c>
      <c r="BM202" s="3">
        <f t="shared" si="284"/>
        <v>0.3</v>
      </c>
      <c r="BN202" s="1">
        <f t="shared" si="273"/>
        <v>0</v>
      </c>
      <c r="BO202" s="4" t="b">
        <f t="shared" si="274"/>
        <v>0</v>
      </c>
      <c r="BP202" s="5">
        <f t="shared" si="275"/>
        <v>0</v>
      </c>
      <c r="BQ202" s="6">
        <f t="shared" si="247"/>
        <v>0</v>
      </c>
      <c r="BR202" s="4">
        <f t="shared" si="276"/>
        <v>0</v>
      </c>
      <c r="BS202" s="4" t="b">
        <f t="shared" si="277"/>
        <v>1</v>
      </c>
      <c r="BT202" s="4">
        <f t="shared" si="278"/>
        <v>1611.2249999999999</v>
      </c>
      <c r="BU202" s="6">
        <f t="shared" si="248"/>
        <v>4.1834000000000003E-2</v>
      </c>
      <c r="BV202" s="1">
        <f t="shared" si="279"/>
        <v>67</v>
      </c>
      <c r="BW202" s="1">
        <f t="shared" si="280"/>
        <v>0</v>
      </c>
      <c r="BX202" s="116">
        <v>52.7</v>
      </c>
      <c r="BY202" s="7">
        <f t="shared" si="285"/>
        <v>4.6100000000000003</v>
      </c>
      <c r="BZ202" s="7">
        <f>IF(ROUND((Weightings!$P$5*BY202^Weightings!$P$6*Weightings!$P$8 ),2)&lt;Weightings!$P$7,Weightings!$P$7,ROUND((Weightings!$P$5*BY202^Weightings!$P$6*Weightings!$P$8 ),2))</f>
        <v>707.27</v>
      </c>
      <c r="CA202" s="8">
        <f>ROUND(BZ202/Weightings!$M$5,4)</f>
        <v>0.18429999999999999</v>
      </c>
      <c r="CB202" s="1">
        <f t="shared" si="286"/>
        <v>44.8</v>
      </c>
      <c r="CC202" s="173">
        <v>0</v>
      </c>
      <c r="CD202" s="173">
        <v>0</v>
      </c>
      <c r="CE202" s="173">
        <v>0</v>
      </c>
      <c r="CF202" s="177">
        <v>0</v>
      </c>
      <c r="CG202" s="2">
        <f>AS202*Weightings!$M$5*CF202</f>
        <v>0</v>
      </c>
      <c r="CH202" s="2">
        <f t="shared" si="250"/>
        <v>0</v>
      </c>
      <c r="CI202" s="117">
        <f t="shared" si="281"/>
        <v>0.58199999999999996</v>
      </c>
      <c r="CJ202" s="4">
        <f t="shared" si="282"/>
        <v>30.4</v>
      </c>
      <c r="CK202" s="1">
        <f t="shared" si="287"/>
        <v>98</v>
      </c>
      <c r="CL202" s="1">
        <f t="shared" si="288"/>
        <v>0</v>
      </c>
      <c r="CM202" s="1">
        <f t="shared" si="289"/>
        <v>0</v>
      </c>
      <c r="CN202" s="1">
        <f>IF(ISNA(VLOOKUP($CZ202,'Audit Values'!$A$2:$AE$439,2,FALSE)),'Preliminary SO66'!T199,VLOOKUP($CZ202,'Audit Values'!$A$2:$AE$439,20,FALSE))</f>
        <v>0</v>
      </c>
      <c r="CO202" s="1">
        <f t="shared" si="254"/>
        <v>0</v>
      </c>
      <c r="CP202" s="183">
        <v>0</v>
      </c>
      <c r="CQ202" s="1">
        <f t="shared" si="255"/>
        <v>0</v>
      </c>
      <c r="CR202" s="2">
        <f>IF(ISNA(VLOOKUP($CZ202,'Audit Values'!$A$2:$AE$439,2,FALSE)),'Preliminary SO66'!V199,VLOOKUP($CZ202,'Audit Values'!$A$2:$AE$439,22,FALSE))</f>
        <v>0</v>
      </c>
      <c r="CS202" s="1">
        <f t="shared" si="256"/>
        <v>0</v>
      </c>
      <c r="CT202" s="2">
        <f>IF(ISNA(VLOOKUP($CZ202,'Audit Values'!$A$2:$AE$439,2,FALSE)),'Preliminary SO66'!W199,VLOOKUP($CZ202,'Audit Values'!$A$2:$AE$439,23,FALSE))</f>
        <v>0</v>
      </c>
      <c r="CU202" s="1">
        <f t="shared" si="291"/>
        <v>0</v>
      </c>
      <c r="CV202" s="1">
        <f t="shared" si="292"/>
        <v>0</v>
      </c>
      <c r="CW202" s="176">
        <v>0</v>
      </c>
      <c r="CX202" s="2">
        <f>IF(CW202&gt;0,Weightings!$M$11*AR202,0)</f>
        <v>0</v>
      </c>
      <c r="CY202" s="2">
        <f t="shared" si="290"/>
        <v>0</v>
      </c>
      <c r="CZ202" s="108" t="s">
        <v>494</v>
      </c>
    </row>
    <row r="203" spans="1:104">
      <c r="A203" s="82">
        <v>410</v>
      </c>
      <c r="B203" s="4" t="s">
        <v>91</v>
      </c>
      <c r="C203" s="4" t="s">
        <v>829</v>
      </c>
      <c r="D203" s="1">
        <v>556.9</v>
      </c>
      <c r="E203" s="1">
        <v>0</v>
      </c>
      <c r="F203" s="1">
        <f t="shared" si="240"/>
        <v>556.9</v>
      </c>
      <c r="G203" s="1">
        <v>577.4</v>
      </c>
      <c r="H203" s="1">
        <v>0</v>
      </c>
      <c r="I203" s="1">
        <f t="shared" si="257"/>
        <v>577.4</v>
      </c>
      <c r="J203" s="1">
        <f t="shared" si="258"/>
        <v>534.9</v>
      </c>
      <c r="K203" s="1">
        <f>IF(ISNA(VLOOKUP($CZ203,'Audit Values'!$A$2:$AE$439,2,FALSE)),'Preliminary SO66'!B200,VLOOKUP($CZ203,'Audit Values'!$A$2:$AE$439,31,FALSE))</f>
        <v>528.1</v>
      </c>
      <c r="L203" s="1">
        <f t="shared" si="259"/>
        <v>577.4</v>
      </c>
      <c r="M203" s="1">
        <f>IF(ISNA(VLOOKUP($CZ203,'Audit Values'!$A$2:$AE$439,2,FALSE)),'Preliminary SO66'!Z200,VLOOKUP($CZ203,'Audit Values'!$A$2:$AE$439,26,FALSE))</f>
        <v>0</v>
      </c>
      <c r="N203" s="1">
        <f t="shared" si="260"/>
        <v>577.4</v>
      </c>
      <c r="O203" s="1">
        <f>IF(ISNA(VLOOKUP($CZ203,'Audit Values'!$A$2:$AE$439,2,FALSE)),'Preliminary SO66'!C200,IF(VLOOKUP($CZ203,'Audit Values'!$A$2:$AE$439,28,FALSE)="",VLOOKUP($CZ203,'Audit Values'!$A$2:$AE$439,3,FALSE),VLOOKUP($CZ203,'Audit Values'!$A$2:$AE$439,28,FALSE)))</f>
        <v>3.5</v>
      </c>
      <c r="P203" s="109">
        <f t="shared" si="261"/>
        <v>531.6</v>
      </c>
      <c r="Q203" s="110">
        <f t="shared" si="262"/>
        <v>538.4</v>
      </c>
      <c r="R203" s="111">
        <f t="shared" si="263"/>
        <v>538.4</v>
      </c>
      <c r="S203" s="1">
        <f t="shared" si="264"/>
        <v>580.9</v>
      </c>
      <c r="T203" s="1">
        <f t="shared" si="239"/>
        <v>6.8</v>
      </c>
      <c r="U203" s="1">
        <f t="shared" si="265"/>
        <v>225.8</v>
      </c>
      <c r="V203" s="1">
        <f t="shared" si="251"/>
        <v>225.8</v>
      </c>
      <c r="W203" s="1">
        <f t="shared" si="252"/>
        <v>0</v>
      </c>
      <c r="X203" s="1">
        <f>IF(ISNA(VLOOKUP($CZ203,'Audit Values'!$A$2:$AE$439,2,FALSE)),'Preliminary SO66'!D200,VLOOKUP($CZ203,'Audit Values'!$A$2:$AE$439,4,FALSE))</f>
        <v>322</v>
      </c>
      <c r="Y203" s="1">
        <f>ROUND((X203/6)*Weightings!$M$6,1)</f>
        <v>26.8</v>
      </c>
      <c r="Z203" s="1">
        <f>IF(ISNA(VLOOKUP($CZ203,'Audit Values'!$A$2:$AE$439,2,FALSE)),'Preliminary SO66'!F200,VLOOKUP($CZ203,'Audit Values'!$A$2:$AE$439,6,FALSE))</f>
        <v>4.9000000000000004</v>
      </c>
      <c r="AA203" s="1">
        <f>ROUND((Z203/6)*Weightings!$M$7,1)</f>
        <v>0.3</v>
      </c>
      <c r="AB203" s="2">
        <f>IF(ISNA(VLOOKUP($CZ203,'Audit Values'!$A$2:$AE$439,2,FALSE)),'Preliminary SO66'!H200,VLOOKUP($CZ203,'Audit Values'!$A$2:$AE$439,8,FALSE))</f>
        <v>156</v>
      </c>
      <c r="AC203" s="1">
        <f>ROUND(AB203*Weightings!$M$8,1)</f>
        <v>71.099999999999994</v>
      </c>
      <c r="AD203" s="1">
        <f t="shared" si="249"/>
        <v>0</v>
      </c>
      <c r="AE203" s="185">
        <v>44</v>
      </c>
      <c r="AF203" s="1">
        <f>AE203*Weightings!$M$9</f>
        <v>2</v>
      </c>
      <c r="AG203" s="1">
        <f>IF(ISNA(VLOOKUP($CZ203,'Audit Values'!$A$2:$AE$439,2,FALSE)),'Preliminary SO66'!L200,VLOOKUP($CZ203,'Audit Values'!$A$2:$AE$439,12,FALSE))</f>
        <v>0</v>
      </c>
      <c r="AH203" s="1">
        <f>ROUND(AG203*Weightings!$M$10,1)</f>
        <v>0</v>
      </c>
      <c r="AI203" s="1">
        <f>IF(ISNA(VLOOKUP($CZ203,'Audit Values'!$A$2:$AE$439,2,FALSE)),'Preliminary SO66'!O200,VLOOKUP($CZ203,'Audit Values'!$A$2:$AE$439,15,FALSE))</f>
        <v>144</v>
      </c>
      <c r="AJ203" s="1">
        <f t="shared" si="266"/>
        <v>41.9</v>
      </c>
      <c r="AK203" s="1">
        <f>CC203/Weightings!$M$5</f>
        <v>0</v>
      </c>
      <c r="AL203" s="1">
        <f>CD203/Weightings!$M$5</f>
        <v>0</v>
      </c>
      <c r="AM203" s="1">
        <f>CH203/Weightings!$M$5</f>
        <v>0</v>
      </c>
      <c r="AN203" s="1">
        <f t="shared" si="253"/>
        <v>7.1</v>
      </c>
      <c r="AO203" s="1">
        <f>IF(ISNA(VLOOKUP($CZ203,'Audit Values'!$A$2:$AE$439,2,FALSE)),'Preliminary SO66'!X200,VLOOKUP($CZ203,'Audit Values'!$A$2:$AE$439,24,FALSE))</f>
        <v>0</v>
      </c>
      <c r="AP203" s="188">
        <v>790239</v>
      </c>
      <c r="AQ203" s="113">
        <f>AP203/Weightings!$M$5</f>
        <v>205.9</v>
      </c>
      <c r="AR203" s="113">
        <f t="shared" si="267"/>
        <v>955.9</v>
      </c>
      <c r="AS203" s="1">
        <f t="shared" si="268"/>
        <v>1161.8</v>
      </c>
      <c r="AT203" s="1">
        <f t="shared" si="269"/>
        <v>1161.8</v>
      </c>
      <c r="AU203" s="2">
        <f t="shared" si="283"/>
        <v>0</v>
      </c>
      <c r="AV203" s="82">
        <f>IF(ISNA(VLOOKUP($CZ203,'Audit Values'!$A$2:$AC$360,2,FALSE)),"",IF(AND(Weightings!H203&gt;0,VLOOKUP($CZ203,'Audit Values'!$A$2:$AC$360,29,FALSE)&lt;Weightings!H203),Weightings!H203,VLOOKUP($CZ203,'Audit Values'!$A$2:$AC$360,29,FALSE)))</f>
        <v>18</v>
      </c>
      <c r="AW203" s="82" t="str">
        <f>IF(ISNA(VLOOKUP($CZ203,'Audit Values'!$A$2:$AD$360,2,FALSE)),"",VLOOKUP($CZ203,'Audit Values'!$A$2:$AD$360,30,FALSE))</f>
        <v>A</v>
      </c>
      <c r="AX203" s="82" t="str">
        <f>IF(Weightings!G203="","",IF(Weightings!I203="Pending","PX","R"))</f>
        <v/>
      </c>
      <c r="AY203" s="114">
        <f>AR203*Weightings!$M$5+AU203</f>
        <v>3668744</v>
      </c>
      <c r="AZ203" s="2">
        <f>AT203*Weightings!$M$5+AU203</f>
        <v>4458988</v>
      </c>
      <c r="BA203" s="2">
        <f>IF(Weightings!G203&gt;0,Weightings!G203,'Preliminary SO66'!AB200)</f>
        <v>4606751</v>
      </c>
      <c r="BB203" s="2">
        <f t="shared" si="270"/>
        <v>4458988</v>
      </c>
      <c r="BC203" s="124"/>
      <c r="BD203" s="124">
        <f>Weightings!E203</f>
        <v>0</v>
      </c>
      <c r="BE203" s="124">
        <f>Weightings!F203</f>
        <v>0</v>
      </c>
      <c r="BF203" s="2">
        <f t="shared" si="271"/>
        <v>0</v>
      </c>
      <c r="BG203" s="2">
        <f t="shared" si="272"/>
        <v>4458988</v>
      </c>
      <c r="BH203" s="2">
        <f>MAX(ROUND(((AR203-AO203)*4433)+AP203,0),ROUND(((AR203-AO203)*4433)+Weightings!B203,0))</f>
        <v>5027744</v>
      </c>
      <c r="BI203" s="174">
        <v>0.3</v>
      </c>
      <c r="BJ203" s="2">
        <f t="shared" si="245"/>
        <v>1508323</v>
      </c>
      <c r="BK203" s="173">
        <v>1556254</v>
      </c>
      <c r="BL203" s="2">
        <f t="shared" si="246"/>
        <v>1508323</v>
      </c>
      <c r="BM203" s="3">
        <f t="shared" si="284"/>
        <v>0.3</v>
      </c>
      <c r="BN203" s="1">
        <f t="shared" si="273"/>
        <v>0</v>
      </c>
      <c r="BO203" s="4" t="b">
        <f t="shared" si="274"/>
        <v>0</v>
      </c>
      <c r="BP203" s="5">
        <f t="shared" si="275"/>
        <v>0</v>
      </c>
      <c r="BQ203" s="6">
        <f t="shared" si="247"/>
        <v>0</v>
      </c>
      <c r="BR203" s="4">
        <f t="shared" si="276"/>
        <v>0</v>
      </c>
      <c r="BS203" s="4" t="b">
        <f t="shared" si="277"/>
        <v>1</v>
      </c>
      <c r="BT203" s="4">
        <f t="shared" si="278"/>
        <v>347.61380000000003</v>
      </c>
      <c r="BU203" s="6">
        <f t="shared" si="248"/>
        <v>0.38875100000000001</v>
      </c>
      <c r="BV203" s="1">
        <f t="shared" si="279"/>
        <v>225.8</v>
      </c>
      <c r="BW203" s="1">
        <f t="shared" si="280"/>
        <v>0</v>
      </c>
      <c r="BX203" s="116">
        <v>231.8</v>
      </c>
      <c r="BY203" s="7">
        <f t="shared" si="285"/>
        <v>0.62</v>
      </c>
      <c r="BZ203" s="7">
        <f>IF(ROUND((Weightings!$P$5*BY203^Weightings!$P$6*Weightings!$P$8 ),2)&lt;Weightings!$P$7,Weightings!$P$7,ROUND((Weightings!$P$5*BY203^Weightings!$P$6*Weightings!$P$8 ),2))</f>
        <v>1117.71</v>
      </c>
      <c r="CA203" s="8">
        <f>ROUND(BZ203/Weightings!$M$5,4)</f>
        <v>0.29120000000000001</v>
      </c>
      <c r="CB203" s="1">
        <f t="shared" si="286"/>
        <v>41.9</v>
      </c>
      <c r="CC203" s="173">
        <v>0</v>
      </c>
      <c r="CD203" s="173">
        <v>0</v>
      </c>
      <c r="CE203" s="173">
        <v>0</v>
      </c>
      <c r="CF203" s="177">
        <v>0</v>
      </c>
      <c r="CG203" s="2">
        <f>AS203*Weightings!$M$5*CF203</f>
        <v>0</v>
      </c>
      <c r="CH203" s="2">
        <f t="shared" si="250"/>
        <v>0</v>
      </c>
      <c r="CI203" s="117">
        <f t="shared" si="281"/>
        <v>0.26900000000000002</v>
      </c>
      <c r="CJ203" s="4">
        <f t="shared" si="282"/>
        <v>2.5</v>
      </c>
      <c r="CK203" s="1">
        <f t="shared" si="287"/>
        <v>0</v>
      </c>
      <c r="CL203" s="1">
        <f t="shared" si="288"/>
        <v>0</v>
      </c>
      <c r="CM203" s="1">
        <f t="shared" si="289"/>
        <v>0</v>
      </c>
      <c r="CN203" s="1">
        <f>IF(ISNA(VLOOKUP($CZ203,'Audit Values'!$A$2:$AE$439,2,FALSE)),'Preliminary SO66'!T200,VLOOKUP($CZ203,'Audit Values'!$A$2:$AE$439,20,FALSE))</f>
        <v>6.8</v>
      </c>
      <c r="CO203" s="1">
        <f t="shared" si="254"/>
        <v>7.1</v>
      </c>
      <c r="CP203" s="183">
        <v>0</v>
      </c>
      <c r="CQ203" s="1">
        <f t="shared" si="255"/>
        <v>0</v>
      </c>
      <c r="CR203" s="2">
        <f>IF(ISNA(VLOOKUP($CZ203,'Audit Values'!$A$2:$AE$439,2,FALSE)),'Preliminary SO66'!V200,VLOOKUP($CZ203,'Audit Values'!$A$2:$AE$439,22,FALSE))</f>
        <v>0</v>
      </c>
      <c r="CS203" s="1">
        <f t="shared" si="256"/>
        <v>0</v>
      </c>
      <c r="CT203" s="2">
        <f>IF(ISNA(VLOOKUP($CZ203,'Audit Values'!$A$2:$AE$439,2,FALSE)),'Preliminary SO66'!W200,VLOOKUP($CZ203,'Audit Values'!$A$2:$AE$439,23,FALSE))</f>
        <v>0</v>
      </c>
      <c r="CU203" s="1">
        <f t="shared" si="291"/>
        <v>0</v>
      </c>
      <c r="CV203" s="1">
        <f t="shared" si="292"/>
        <v>7.1</v>
      </c>
      <c r="CW203" s="176">
        <v>0</v>
      </c>
      <c r="CX203" s="2">
        <f>IF(CW203&gt;0,Weightings!$M$11*AR203,0)</f>
        <v>0</v>
      </c>
      <c r="CY203" s="2">
        <f t="shared" si="290"/>
        <v>0</v>
      </c>
      <c r="CZ203" s="108" t="s">
        <v>495</v>
      </c>
    </row>
    <row r="204" spans="1:104">
      <c r="A204" s="82">
        <v>411</v>
      </c>
      <c r="B204" s="4" t="s">
        <v>91</v>
      </c>
      <c r="C204" s="4" t="s">
        <v>830</v>
      </c>
      <c r="D204" s="1">
        <v>257</v>
      </c>
      <c r="E204" s="1">
        <v>0</v>
      </c>
      <c r="F204" s="1">
        <f t="shared" si="240"/>
        <v>257</v>
      </c>
      <c r="G204" s="1">
        <v>254</v>
      </c>
      <c r="H204" s="1">
        <v>0</v>
      </c>
      <c r="I204" s="1">
        <f t="shared" si="257"/>
        <v>254</v>
      </c>
      <c r="J204" s="1">
        <f t="shared" si="258"/>
        <v>273</v>
      </c>
      <c r="K204" s="1">
        <f>IF(ISNA(VLOOKUP($CZ204,'Audit Values'!$A$2:$AE$439,2,FALSE)),'Preliminary SO66'!B201,VLOOKUP($CZ204,'Audit Values'!$A$2:$AE$439,31,FALSE))</f>
        <v>273</v>
      </c>
      <c r="L204" s="1">
        <f t="shared" si="259"/>
        <v>273</v>
      </c>
      <c r="M204" s="1">
        <f>IF(ISNA(VLOOKUP($CZ204,'Audit Values'!$A$2:$AE$439,2,FALSE)),'Preliminary SO66'!Z201,VLOOKUP($CZ204,'Audit Values'!$A$2:$AE$439,26,FALSE))</f>
        <v>0</v>
      </c>
      <c r="N204" s="1">
        <f t="shared" si="260"/>
        <v>273</v>
      </c>
      <c r="O204" s="1">
        <f>IF(ISNA(VLOOKUP($CZ204,'Audit Values'!$A$2:$AE$439,2,FALSE)),'Preliminary SO66'!C201,IF(VLOOKUP($CZ204,'Audit Values'!$A$2:$AE$439,28,FALSE)="",VLOOKUP($CZ204,'Audit Values'!$A$2:$AE$439,3,FALSE),VLOOKUP($CZ204,'Audit Values'!$A$2:$AE$439,28,FALSE)))</f>
        <v>0</v>
      </c>
      <c r="P204" s="109">
        <f t="shared" si="261"/>
        <v>273</v>
      </c>
      <c r="Q204" s="110">
        <f t="shared" si="262"/>
        <v>273</v>
      </c>
      <c r="R204" s="111">
        <f t="shared" si="263"/>
        <v>273</v>
      </c>
      <c r="S204" s="1">
        <f t="shared" si="264"/>
        <v>273</v>
      </c>
      <c r="T204" s="1">
        <f t="shared" si="239"/>
        <v>0</v>
      </c>
      <c r="U204" s="1">
        <f t="shared" si="265"/>
        <v>151.69999999999999</v>
      </c>
      <c r="V204" s="1">
        <f t="shared" si="251"/>
        <v>151.69999999999999</v>
      </c>
      <c r="W204" s="1">
        <f t="shared" si="252"/>
        <v>0</v>
      </c>
      <c r="X204" s="1">
        <f>IF(ISNA(VLOOKUP($CZ204,'Audit Values'!$A$2:$AE$439,2,FALSE)),'Preliminary SO66'!D201,VLOOKUP($CZ204,'Audit Values'!$A$2:$AE$439,4,FALSE))</f>
        <v>97.6</v>
      </c>
      <c r="Y204" s="1">
        <f>ROUND((X204/6)*Weightings!$M$6,1)</f>
        <v>8.1</v>
      </c>
      <c r="Z204" s="1">
        <f>IF(ISNA(VLOOKUP($CZ204,'Audit Values'!$A$2:$AE$439,2,FALSE)),'Preliminary SO66'!F201,VLOOKUP($CZ204,'Audit Values'!$A$2:$AE$439,6,FALSE))</f>
        <v>0</v>
      </c>
      <c r="AA204" s="1">
        <f>ROUND((Z204/6)*Weightings!$M$7,1)</f>
        <v>0</v>
      </c>
      <c r="AB204" s="2">
        <f>IF(ISNA(VLOOKUP($CZ204,'Audit Values'!$A$2:$AE$439,2,FALSE)),'Preliminary SO66'!H201,VLOOKUP($CZ204,'Audit Values'!$A$2:$AE$439,8,FALSE))</f>
        <v>66</v>
      </c>
      <c r="AC204" s="1">
        <f>ROUND(AB204*Weightings!$M$8,1)</f>
        <v>30.1</v>
      </c>
      <c r="AD204" s="1">
        <f t="shared" si="249"/>
        <v>0</v>
      </c>
      <c r="AE204" s="185">
        <v>23</v>
      </c>
      <c r="AF204" s="1">
        <f>AE204*Weightings!$M$9</f>
        <v>1.1000000000000001</v>
      </c>
      <c r="AG204" s="1">
        <f>IF(ISNA(VLOOKUP($CZ204,'Audit Values'!$A$2:$AE$439,2,FALSE)),'Preliminary SO66'!L201,VLOOKUP($CZ204,'Audit Values'!$A$2:$AE$439,12,FALSE))</f>
        <v>0</v>
      </c>
      <c r="AH204" s="1">
        <f>ROUND(AG204*Weightings!$M$10,1)</f>
        <v>0</v>
      </c>
      <c r="AI204" s="1">
        <f>IF(ISNA(VLOOKUP($CZ204,'Audit Values'!$A$2:$AE$439,2,FALSE)),'Preliminary SO66'!O201,VLOOKUP($CZ204,'Audit Values'!$A$2:$AE$439,15,FALSE))</f>
        <v>112</v>
      </c>
      <c r="AJ204" s="1">
        <f t="shared" si="266"/>
        <v>29.2</v>
      </c>
      <c r="AK204" s="1">
        <f>CC204/Weightings!$M$5</f>
        <v>0</v>
      </c>
      <c r="AL204" s="1">
        <f>CD204/Weightings!$M$5</f>
        <v>0</v>
      </c>
      <c r="AM204" s="1">
        <f>CH204/Weightings!$M$5</f>
        <v>0</v>
      </c>
      <c r="AN204" s="1">
        <f t="shared" si="253"/>
        <v>0</v>
      </c>
      <c r="AO204" s="1">
        <f>IF(ISNA(VLOOKUP($CZ204,'Audit Values'!$A$2:$AE$439,2,FALSE)),'Preliminary SO66'!X201,VLOOKUP($CZ204,'Audit Values'!$A$2:$AE$439,24,FALSE))</f>
        <v>0</v>
      </c>
      <c r="AP204" s="188">
        <v>339988</v>
      </c>
      <c r="AQ204" s="113">
        <f>AP204/Weightings!$M$5</f>
        <v>88.6</v>
      </c>
      <c r="AR204" s="113">
        <f t="shared" si="267"/>
        <v>493.2</v>
      </c>
      <c r="AS204" s="1">
        <f t="shared" si="268"/>
        <v>581.79999999999995</v>
      </c>
      <c r="AT204" s="1">
        <f t="shared" si="269"/>
        <v>581.79999999999995</v>
      </c>
      <c r="AU204" s="2">
        <f t="shared" si="283"/>
        <v>0</v>
      </c>
      <c r="AV204" s="82">
        <f>IF(ISNA(VLOOKUP($CZ204,'Audit Values'!$A$2:$AC$360,2,FALSE)),"",IF(AND(Weightings!H204&gt;0,VLOOKUP($CZ204,'Audit Values'!$A$2:$AC$360,29,FALSE)&lt;Weightings!H204),Weightings!H204,VLOOKUP($CZ204,'Audit Values'!$A$2:$AC$360,29,FALSE)))</f>
        <v>20</v>
      </c>
      <c r="AW204" s="82" t="str">
        <f>IF(ISNA(VLOOKUP($CZ204,'Audit Values'!$A$2:$AD$360,2,FALSE)),"",VLOOKUP($CZ204,'Audit Values'!$A$2:$AD$360,30,FALSE))</f>
        <v>A</v>
      </c>
      <c r="AX204" s="82" t="str">
        <f>IF(Weightings!G204="","",IF(Weightings!I204="Pending","PX","R"))</f>
        <v>R</v>
      </c>
      <c r="AY204" s="114">
        <f>AR204*Weightings!$M$5+AU204</f>
        <v>1892902</v>
      </c>
      <c r="AZ204" s="2">
        <f>AT204*Weightings!$M$5+AU204</f>
        <v>2232948</v>
      </c>
      <c r="BA204" s="2">
        <f>IF(Weightings!G204&gt;0,Weightings!G204,'Preliminary SO66'!AB201)</f>
        <v>2273247</v>
      </c>
      <c r="BB204" s="2">
        <f t="shared" si="270"/>
        <v>2232948</v>
      </c>
      <c r="BC204" s="124"/>
      <c r="BD204" s="124">
        <f>Weightings!E204</f>
        <v>0</v>
      </c>
      <c r="BE204" s="124">
        <f>Weightings!F204</f>
        <v>0</v>
      </c>
      <c r="BF204" s="2">
        <f t="shared" si="271"/>
        <v>0</v>
      </c>
      <c r="BG204" s="2">
        <f t="shared" si="272"/>
        <v>2232948</v>
      </c>
      <c r="BH204" s="2">
        <f>MAX(ROUND(((AR204-AO204)*4433)+AP204,0),ROUND(((AR204-AO204)*4433)+Weightings!B204,0))</f>
        <v>2526344</v>
      </c>
      <c r="BI204" s="174">
        <v>0.3</v>
      </c>
      <c r="BJ204" s="2">
        <f t="shared" si="245"/>
        <v>757903</v>
      </c>
      <c r="BK204" s="173">
        <v>685000</v>
      </c>
      <c r="BL204" s="2">
        <f t="shared" si="246"/>
        <v>685000</v>
      </c>
      <c r="BM204" s="3">
        <f t="shared" si="284"/>
        <v>0.27110000000000001</v>
      </c>
      <c r="BN204" s="1">
        <f t="shared" si="273"/>
        <v>0</v>
      </c>
      <c r="BO204" s="4" t="b">
        <f t="shared" si="274"/>
        <v>1</v>
      </c>
      <c r="BP204" s="5">
        <f t="shared" si="275"/>
        <v>1670.3150000000001</v>
      </c>
      <c r="BQ204" s="6">
        <f t="shared" si="247"/>
        <v>0.55575600000000003</v>
      </c>
      <c r="BR204" s="4">
        <f t="shared" si="276"/>
        <v>151.69999999999999</v>
      </c>
      <c r="BS204" s="4" t="b">
        <f t="shared" si="277"/>
        <v>0</v>
      </c>
      <c r="BT204" s="4">
        <f t="shared" si="278"/>
        <v>0</v>
      </c>
      <c r="BU204" s="6">
        <f t="shared" si="248"/>
        <v>0</v>
      </c>
      <c r="BV204" s="1">
        <f t="shared" si="279"/>
        <v>0</v>
      </c>
      <c r="BW204" s="1">
        <f t="shared" si="280"/>
        <v>0</v>
      </c>
      <c r="BX204" s="116">
        <v>111.2</v>
      </c>
      <c r="BY204" s="7">
        <f t="shared" si="285"/>
        <v>1.01</v>
      </c>
      <c r="BZ204" s="7">
        <f>IF(ROUND((Weightings!$P$5*BY204^Weightings!$P$6*Weightings!$P$8 ),2)&lt;Weightings!$P$7,Weightings!$P$7,ROUND((Weightings!$P$5*BY204^Weightings!$P$6*Weightings!$P$8 ),2))</f>
        <v>999.97</v>
      </c>
      <c r="CA204" s="8">
        <f>ROUND(BZ204/Weightings!$M$5,4)</f>
        <v>0.26050000000000001</v>
      </c>
      <c r="CB204" s="1">
        <f t="shared" si="286"/>
        <v>29.2</v>
      </c>
      <c r="CC204" s="173">
        <v>0</v>
      </c>
      <c r="CD204" s="173">
        <v>0</v>
      </c>
      <c r="CE204" s="173">
        <v>0</v>
      </c>
      <c r="CF204" s="177">
        <v>0</v>
      </c>
      <c r="CG204" s="2">
        <f>AS204*Weightings!$M$5*CF204</f>
        <v>0</v>
      </c>
      <c r="CH204" s="2">
        <f t="shared" si="250"/>
        <v>0</v>
      </c>
      <c r="CI204" s="117">
        <f t="shared" si="281"/>
        <v>0.24199999999999999</v>
      </c>
      <c r="CJ204" s="4">
        <f t="shared" si="282"/>
        <v>2.5</v>
      </c>
      <c r="CK204" s="1">
        <f t="shared" si="287"/>
        <v>0</v>
      </c>
      <c r="CL204" s="1">
        <f t="shared" si="288"/>
        <v>0</v>
      </c>
      <c r="CM204" s="1">
        <f t="shared" si="289"/>
        <v>0</v>
      </c>
      <c r="CN204" s="1">
        <f>IF(ISNA(VLOOKUP($CZ204,'Audit Values'!$A$2:$AE$439,2,FALSE)),'Preliminary SO66'!T201,VLOOKUP($CZ204,'Audit Values'!$A$2:$AE$439,20,FALSE))</f>
        <v>0</v>
      </c>
      <c r="CO204" s="1">
        <f t="shared" si="254"/>
        <v>0</v>
      </c>
      <c r="CP204" s="183">
        <v>0</v>
      </c>
      <c r="CQ204" s="1">
        <f t="shared" si="255"/>
        <v>0</v>
      </c>
      <c r="CR204" s="2">
        <f>IF(ISNA(VLOOKUP($CZ204,'Audit Values'!$A$2:$AE$439,2,FALSE)),'Preliminary SO66'!V201,VLOOKUP($CZ204,'Audit Values'!$A$2:$AE$439,22,FALSE))</f>
        <v>0</v>
      </c>
      <c r="CS204" s="1">
        <f t="shared" si="256"/>
        <v>0</v>
      </c>
      <c r="CT204" s="2">
        <f>IF(ISNA(VLOOKUP($CZ204,'Audit Values'!$A$2:$AE$439,2,FALSE)),'Preliminary SO66'!W201,VLOOKUP($CZ204,'Audit Values'!$A$2:$AE$439,23,FALSE))</f>
        <v>0</v>
      </c>
      <c r="CU204" s="1">
        <f t="shared" si="291"/>
        <v>0</v>
      </c>
      <c r="CV204" s="1">
        <f t="shared" si="292"/>
        <v>0</v>
      </c>
      <c r="CW204" s="176">
        <v>0</v>
      </c>
      <c r="CX204" s="2">
        <f>IF(CW204&gt;0,Weightings!$M$11*AR204,0)</f>
        <v>0</v>
      </c>
      <c r="CY204" s="2">
        <f t="shared" si="290"/>
        <v>0</v>
      </c>
      <c r="CZ204" s="108" t="s">
        <v>496</v>
      </c>
    </row>
    <row r="205" spans="1:104">
      <c r="A205" s="82">
        <v>412</v>
      </c>
      <c r="B205" s="4" t="s">
        <v>95</v>
      </c>
      <c r="C205" s="4" t="s">
        <v>831</v>
      </c>
      <c r="D205" s="1">
        <v>320</v>
      </c>
      <c r="E205" s="1">
        <v>0</v>
      </c>
      <c r="F205" s="1">
        <f t="shared" si="240"/>
        <v>320</v>
      </c>
      <c r="G205" s="1">
        <v>326.5</v>
      </c>
      <c r="H205" s="1">
        <v>0</v>
      </c>
      <c r="I205" s="1">
        <f t="shared" si="257"/>
        <v>326.5</v>
      </c>
      <c r="J205" s="1">
        <f t="shared" si="258"/>
        <v>335.5</v>
      </c>
      <c r="K205" s="1">
        <f>IF(ISNA(VLOOKUP($CZ205,'Audit Values'!$A$2:$AE$439,2,FALSE)),'Preliminary SO66'!B202,VLOOKUP($CZ205,'Audit Values'!$A$2:$AE$439,31,FALSE))</f>
        <v>335.5</v>
      </c>
      <c r="L205" s="1">
        <f t="shared" si="259"/>
        <v>335.5</v>
      </c>
      <c r="M205" s="1">
        <f>IF(ISNA(VLOOKUP($CZ205,'Audit Values'!$A$2:$AE$439,2,FALSE)),'Preliminary SO66'!Z202,VLOOKUP($CZ205,'Audit Values'!$A$2:$AE$439,26,FALSE))</f>
        <v>0</v>
      </c>
      <c r="N205" s="1">
        <f t="shared" si="260"/>
        <v>335.5</v>
      </c>
      <c r="O205" s="1">
        <f>IF(ISNA(VLOOKUP($CZ205,'Audit Values'!$A$2:$AE$439,2,FALSE)),'Preliminary SO66'!C202,IF(VLOOKUP($CZ205,'Audit Values'!$A$2:$AE$439,28,FALSE)="",VLOOKUP($CZ205,'Audit Values'!$A$2:$AE$439,3,FALSE),VLOOKUP($CZ205,'Audit Values'!$A$2:$AE$439,28,FALSE)))</f>
        <v>0</v>
      </c>
      <c r="P205" s="109">
        <f t="shared" si="261"/>
        <v>335.5</v>
      </c>
      <c r="Q205" s="110">
        <f t="shared" si="262"/>
        <v>335.5</v>
      </c>
      <c r="R205" s="111">
        <f t="shared" si="263"/>
        <v>335.5</v>
      </c>
      <c r="S205" s="1">
        <f t="shared" si="264"/>
        <v>335.5</v>
      </c>
      <c r="T205" s="1">
        <f t="shared" si="239"/>
        <v>0</v>
      </c>
      <c r="U205" s="1">
        <f t="shared" si="265"/>
        <v>158.4</v>
      </c>
      <c r="V205" s="1">
        <f t="shared" si="251"/>
        <v>158.4</v>
      </c>
      <c r="W205" s="1">
        <f t="shared" si="252"/>
        <v>0</v>
      </c>
      <c r="X205" s="1">
        <f>IF(ISNA(VLOOKUP($CZ205,'Audit Values'!$A$2:$AE$439,2,FALSE)),'Preliminary SO66'!D202,VLOOKUP($CZ205,'Audit Values'!$A$2:$AE$439,4,FALSE))</f>
        <v>49.9</v>
      </c>
      <c r="Y205" s="1">
        <f>ROUND((X205/6)*Weightings!$M$6,1)</f>
        <v>4.2</v>
      </c>
      <c r="Z205" s="1">
        <f>IF(ISNA(VLOOKUP($CZ205,'Audit Values'!$A$2:$AE$439,2,FALSE)),'Preliminary SO66'!F202,VLOOKUP($CZ205,'Audit Values'!$A$2:$AE$439,6,FALSE))</f>
        <v>0</v>
      </c>
      <c r="AA205" s="1">
        <f>ROUND((Z205/6)*Weightings!$M$7,1)</f>
        <v>0</v>
      </c>
      <c r="AB205" s="2">
        <f>IF(ISNA(VLOOKUP($CZ205,'Audit Values'!$A$2:$AE$439,2,FALSE)),'Preliminary SO66'!H202,VLOOKUP($CZ205,'Audit Values'!$A$2:$AE$439,8,FALSE))</f>
        <v>86</v>
      </c>
      <c r="AC205" s="1">
        <f>ROUND(AB205*Weightings!$M$8,1)</f>
        <v>39.200000000000003</v>
      </c>
      <c r="AD205" s="1">
        <f t="shared" si="249"/>
        <v>0</v>
      </c>
      <c r="AE205" s="185">
        <v>30</v>
      </c>
      <c r="AF205" s="1">
        <f>AE205*Weightings!$M$9</f>
        <v>1.4</v>
      </c>
      <c r="AG205" s="1">
        <f>IF(ISNA(VLOOKUP($CZ205,'Audit Values'!$A$2:$AE$439,2,FALSE)),'Preliminary SO66'!L202,VLOOKUP($CZ205,'Audit Values'!$A$2:$AE$439,12,FALSE))</f>
        <v>0</v>
      </c>
      <c r="AH205" s="1">
        <f>ROUND(AG205*Weightings!$M$10,1)</f>
        <v>0</v>
      </c>
      <c r="AI205" s="1">
        <f>IF(ISNA(VLOOKUP($CZ205,'Audit Values'!$A$2:$AE$439,2,FALSE)),'Preliminary SO66'!O202,VLOOKUP($CZ205,'Audit Values'!$A$2:$AE$439,15,FALSE))</f>
        <v>96</v>
      </c>
      <c r="AJ205" s="1">
        <f t="shared" si="266"/>
        <v>39.299999999999997</v>
      </c>
      <c r="AK205" s="1">
        <f>CC205/Weightings!$M$5</f>
        <v>0</v>
      </c>
      <c r="AL205" s="1">
        <f>CD205/Weightings!$M$5</f>
        <v>0</v>
      </c>
      <c r="AM205" s="1">
        <f>CH205/Weightings!$M$5</f>
        <v>0</v>
      </c>
      <c r="AN205" s="1">
        <f t="shared" si="253"/>
        <v>0</v>
      </c>
      <c r="AO205" s="1">
        <f>IF(ISNA(VLOOKUP($CZ205,'Audit Values'!$A$2:$AE$439,2,FALSE)),'Preliminary SO66'!X202,VLOOKUP($CZ205,'Audit Values'!$A$2:$AE$439,24,FALSE))</f>
        <v>0</v>
      </c>
      <c r="AP205" s="188">
        <v>282152</v>
      </c>
      <c r="AQ205" s="113">
        <f>AP205/Weightings!$M$5</f>
        <v>73.5</v>
      </c>
      <c r="AR205" s="113">
        <f t="shared" si="267"/>
        <v>578</v>
      </c>
      <c r="AS205" s="1">
        <f t="shared" si="268"/>
        <v>651.5</v>
      </c>
      <c r="AT205" s="1">
        <f t="shared" si="269"/>
        <v>651.5</v>
      </c>
      <c r="AU205" s="2">
        <f t="shared" si="283"/>
        <v>0</v>
      </c>
      <c r="AV205" s="82">
        <f>IF(ISNA(VLOOKUP($CZ205,'Audit Values'!$A$2:$AC$360,2,FALSE)),"",IF(AND(Weightings!H205&gt;0,VLOOKUP($CZ205,'Audit Values'!$A$2:$AC$360,29,FALSE)&lt;Weightings!H205),Weightings!H205,VLOOKUP($CZ205,'Audit Values'!$A$2:$AC$360,29,FALSE)))</f>
        <v>15</v>
      </c>
      <c r="AW205" s="82" t="str">
        <f>IF(ISNA(VLOOKUP($CZ205,'Audit Values'!$A$2:$AD$360,2,FALSE)),"",VLOOKUP($CZ205,'Audit Values'!$A$2:$AD$360,30,FALSE))</f>
        <v>A</v>
      </c>
      <c r="AX205" s="82" t="str">
        <f>IF(Weightings!G205="","",IF(Weightings!I205="Pending","PX","R"))</f>
        <v/>
      </c>
      <c r="AY205" s="114">
        <f>AR205*Weightings!$M$5+AU205</f>
        <v>2218364</v>
      </c>
      <c r="AZ205" s="2">
        <f>AT205*Weightings!$M$5+AU205</f>
        <v>2500457</v>
      </c>
      <c r="BA205" s="2">
        <f>IF(Weightings!G205&gt;0,Weightings!G205,'Preliminary SO66'!AB202)</f>
        <v>2676237</v>
      </c>
      <c r="BB205" s="2">
        <f t="shared" si="270"/>
        <v>2500457</v>
      </c>
      <c r="BC205" s="124"/>
      <c r="BD205" s="124">
        <f>Weightings!E205</f>
        <v>0</v>
      </c>
      <c r="BE205" s="124">
        <f>Weightings!F205</f>
        <v>0</v>
      </c>
      <c r="BF205" s="2">
        <f t="shared" si="271"/>
        <v>0</v>
      </c>
      <c r="BG205" s="2">
        <f t="shared" si="272"/>
        <v>2500457</v>
      </c>
      <c r="BH205" s="2">
        <f>MAX(ROUND(((AR205-AO205)*4433)+AP205,0),ROUND(((AR205-AO205)*4433)+Weightings!B205,0))</f>
        <v>2935962</v>
      </c>
      <c r="BI205" s="174">
        <v>0.3</v>
      </c>
      <c r="BJ205" s="2">
        <f t="shared" si="245"/>
        <v>880789</v>
      </c>
      <c r="BK205" s="173">
        <v>909685</v>
      </c>
      <c r="BL205" s="2">
        <f t="shared" si="246"/>
        <v>880789</v>
      </c>
      <c r="BM205" s="3">
        <f t="shared" si="284"/>
        <v>0.3</v>
      </c>
      <c r="BN205" s="1">
        <f t="shared" si="273"/>
        <v>0</v>
      </c>
      <c r="BO205" s="4" t="b">
        <f t="shared" si="274"/>
        <v>0</v>
      </c>
      <c r="BP205" s="5">
        <f t="shared" si="275"/>
        <v>0</v>
      </c>
      <c r="BQ205" s="6">
        <f t="shared" si="247"/>
        <v>0</v>
      </c>
      <c r="BR205" s="4">
        <f t="shared" si="276"/>
        <v>0</v>
      </c>
      <c r="BS205" s="4" t="b">
        <f t="shared" si="277"/>
        <v>1</v>
      </c>
      <c r="BT205" s="4">
        <f t="shared" si="278"/>
        <v>43.9313</v>
      </c>
      <c r="BU205" s="6">
        <f t="shared" si="248"/>
        <v>0.47212500000000002</v>
      </c>
      <c r="BV205" s="1">
        <f t="shared" si="279"/>
        <v>158.4</v>
      </c>
      <c r="BW205" s="1">
        <f t="shared" si="280"/>
        <v>0</v>
      </c>
      <c r="BX205" s="116">
        <v>674</v>
      </c>
      <c r="BY205" s="7">
        <f t="shared" si="285"/>
        <v>0.14000000000000001</v>
      </c>
      <c r="BZ205" s="7">
        <f>IF(ROUND((Weightings!$P$5*BY205^Weightings!$P$6*Weightings!$P$8 ),2)&lt;Weightings!$P$7,Weightings!$P$7,ROUND((Weightings!$P$5*BY205^Weightings!$P$6*Weightings!$P$8 ),2))</f>
        <v>1569.43</v>
      </c>
      <c r="CA205" s="8">
        <f>ROUND(BZ205/Weightings!$M$5,4)</f>
        <v>0.40889999999999999</v>
      </c>
      <c r="CB205" s="1">
        <f t="shared" si="286"/>
        <v>39.299999999999997</v>
      </c>
      <c r="CC205" s="173">
        <v>0</v>
      </c>
      <c r="CD205" s="173">
        <v>0</v>
      </c>
      <c r="CE205" s="173">
        <v>0</v>
      </c>
      <c r="CF205" s="177">
        <v>0</v>
      </c>
      <c r="CG205" s="2">
        <f>AS205*Weightings!$M$5*CF205</f>
        <v>0</v>
      </c>
      <c r="CH205" s="2">
        <f t="shared" si="250"/>
        <v>0</v>
      </c>
      <c r="CI205" s="117">
        <f t="shared" si="281"/>
        <v>0.25600000000000001</v>
      </c>
      <c r="CJ205" s="4">
        <f t="shared" si="282"/>
        <v>0.5</v>
      </c>
      <c r="CK205" s="1">
        <f t="shared" si="287"/>
        <v>0</v>
      </c>
      <c r="CL205" s="1">
        <f t="shared" si="288"/>
        <v>0</v>
      </c>
      <c r="CM205" s="1">
        <f t="shared" si="289"/>
        <v>0</v>
      </c>
      <c r="CN205" s="1">
        <f>IF(ISNA(VLOOKUP($CZ205,'Audit Values'!$A$2:$AE$439,2,FALSE)),'Preliminary SO66'!T202,VLOOKUP($CZ205,'Audit Values'!$A$2:$AE$439,20,FALSE))</f>
        <v>0</v>
      </c>
      <c r="CO205" s="1">
        <f t="shared" si="254"/>
        <v>0</v>
      </c>
      <c r="CP205" s="183">
        <v>0</v>
      </c>
      <c r="CQ205" s="1">
        <f t="shared" si="255"/>
        <v>0</v>
      </c>
      <c r="CR205" s="2">
        <f>IF(ISNA(VLOOKUP($CZ205,'Audit Values'!$A$2:$AE$439,2,FALSE)),'Preliminary SO66'!V202,VLOOKUP($CZ205,'Audit Values'!$A$2:$AE$439,22,FALSE))</f>
        <v>0</v>
      </c>
      <c r="CS205" s="1">
        <f t="shared" si="256"/>
        <v>0</v>
      </c>
      <c r="CT205" s="2">
        <f>IF(ISNA(VLOOKUP($CZ205,'Audit Values'!$A$2:$AE$439,2,FALSE)),'Preliminary SO66'!W202,VLOOKUP($CZ205,'Audit Values'!$A$2:$AE$439,23,FALSE))</f>
        <v>0</v>
      </c>
      <c r="CU205" s="1">
        <f t="shared" si="291"/>
        <v>0</v>
      </c>
      <c r="CV205" s="1">
        <f t="shared" si="292"/>
        <v>0</v>
      </c>
      <c r="CW205" s="176">
        <v>0</v>
      </c>
      <c r="CX205" s="2">
        <f>IF(CW205&gt;0,Weightings!$M$11*AR205,0)</f>
        <v>0</v>
      </c>
      <c r="CY205" s="2">
        <f t="shared" si="290"/>
        <v>0</v>
      </c>
      <c r="CZ205" s="108" t="s">
        <v>497</v>
      </c>
    </row>
    <row r="206" spans="1:104">
      <c r="A206" s="82">
        <v>413</v>
      </c>
      <c r="B206" s="4" t="s">
        <v>6</v>
      </c>
      <c r="C206" s="4" t="s">
        <v>832</v>
      </c>
      <c r="D206" s="1">
        <v>1768.5</v>
      </c>
      <c r="E206" s="1">
        <v>0</v>
      </c>
      <c r="F206" s="1">
        <f t="shared" si="240"/>
        <v>1768.5</v>
      </c>
      <c r="G206" s="1">
        <v>1780.7</v>
      </c>
      <c r="H206" s="1">
        <v>0</v>
      </c>
      <c r="I206" s="1">
        <f t="shared" si="257"/>
        <v>1780.7</v>
      </c>
      <c r="J206" s="1">
        <f t="shared" si="258"/>
        <v>1798.3</v>
      </c>
      <c r="K206" s="1">
        <f>IF(ISNA(VLOOKUP($CZ206,'Audit Values'!$A$2:$AE$439,2,FALSE)),'Preliminary SO66'!B203,VLOOKUP($CZ206,'Audit Values'!$A$2:$AE$439,31,FALSE))</f>
        <v>1790.9</v>
      </c>
      <c r="L206" s="1">
        <f t="shared" si="259"/>
        <v>1790.9</v>
      </c>
      <c r="M206" s="1">
        <f>IF(ISNA(VLOOKUP($CZ206,'Audit Values'!$A$2:$AE$439,2,FALSE)),'Preliminary SO66'!Z203,VLOOKUP($CZ206,'Audit Values'!$A$2:$AE$439,26,FALSE))</f>
        <v>0</v>
      </c>
      <c r="N206" s="1">
        <f t="shared" si="260"/>
        <v>1790.9</v>
      </c>
      <c r="O206" s="1">
        <f>IF(ISNA(VLOOKUP($CZ206,'Audit Values'!$A$2:$AE$439,2,FALSE)),'Preliminary SO66'!C203,IF(VLOOKUP($CZ206,'Audit Values'!$A$2:$AE$439,28,FALSE)="",VLOOKUP($CZ206,'Audit Values'!$A$2:$AE$439,3,FALSE),VLOOKUP($CZ206,'Audit Values'!$A$2:$AE$439,28,FALSE)))</f>
        <v>17</v>
      </c>
      <c r="P206" s="109">
        <f t="shared" si="261"/>
        <v>1807.9</v>
      </c>
      <c r="Q206" s="110">
        <f t="shared" si="262"/>
        <v>1815.3</v>
      </c>
      <c r="R206" s="111">
        <f t="shared" si="263"/>
        <v>1815.3</v>
      </c>
      <c r="S206" s="1">
        <f t="shared" si="264"/>
        <v>1807.9</v>
      </c>
      <c r="T206" s="1">
        <f t="shared" si="239"/>
        <v>7.4</v>
      </c>
      <c r="U206" s="1">
        <f t="shared" si="265"/>
        <v>63.3</v>
      </c>
      <c r="V206" s="1">
        <f t="shared" si="251"/>
        <v>0</v>
      </c>
      <c r="W206" s="1">
        <f t="shared" si="252"/>
        <v>63.3</v>
      </c>
      <c r="X206" s="1">
        <f>IF(ISNA(VLOOKUP($CZ206,'Audit Values'!$A$2:$AE$439,2,FALSE)),'Preliminary SO66'!D203,VLOOKUP($CZ206,'Audit Values'!$A$2:$AE$439,4,FALSE))</f>
        <v>474.1</v>
      </c>
      <c r="Y206" s="1">
        <f>ROUND((X206/6)*Weightings!$M$6,1)</f>
        <v>39.5</v>
      </c>
      <c r="Z206" s="1">
        <f>IF(ISNA(VLOOKUP($CZ206,'Audit Values'!$A$2:$AE$439,2,FALSE)),'Preliminary SO66'!F203,VLOOKUP($CZ206,'Audit Values'!$A$2:$AE$439,6,FALSE))</f>
        <v>100.5</v>
      </c>
      <c r="AA206" s="1">
        <f>ROUND((Z206/6)*Weightings!$M$7,1)</f>
        <v>6.6</v>
      </c>
      <c r="AB206" s="2">
        <f>IF(ISNA(VLOOKUP($CZ206,'Audit Values'!$A$2:$AE$439,2,FALSE)),'Preliminary SO66'!H203,VLOOKUP($CZ206,'Audit Values'!$A$2:$AE$439,8,FALSE))</f>
        <v>1021</v>
      </c>
      <c r="AC206" s="1">
        <f>ROUND(AB206*Weightings!$M$8,1)</f>
        <v>465.6</v>
      </c>
      <c r="AD206" s="1">
        <f t="shared" si="249"/>
        <v>107.2</v>
      </c>
      <c r="AE206" s="185">
        <v>58</v>
      </c>
      <c r="AF206" s="1">
        <f>AE206*Weightings!$M$9</f>
        <v>2.7</v>
      </c>
      <c r="AG206" s="1">
        <f>IF(ISNA(VLOOKUP($CZ206,'Audit Values'!$A$2:$AE$439,2,FALSE)),'Preliminary SO66'!L203,VLOOKUP($CZ206,'Audit Values'!$A$2:$AE$439,12,FALSE))</f>
        <v>0</v>
      </c>
      <c r="AH206" s="1">
        <f>ROUND(AG206*Weightings!$M$10,1)</f>
        <v>0</v>
      </c>
      <c r="AI206" s="1">
        <f>IF(ISNA(VLOOKUP($CZ206,'Audit Values'!$A$2:$AE$439,2,FALSE)),'Preliminary SO66'!O203,VLOOKUP($CZ206,'Audit Values'!$A$2:$AE$439,15,FALSE))</f>
        <v>617</v>
      </c>
      <c r="AJ206" s="1">
        <f t="shared" si="266"/>
        <v>111.9</v>
      </c>
      <c r="AK206" s="1">
        <f>CC206/Weightings!$M$5</f>
        <v>0</v>
      </c>
      <c r="AL206" s="1">
        <f>CD206/Weightings!$M$5</f>
        <v>0</v>
      </c>
      <c r="AM206" s="1">
        <f>CH206/Weightings!$M$5</f>
        <v>0</v>
      </c>
      <c r="AN206" s="1">
        <f t="shared" si="253"/>
        <v>7.8</v>
      </c>
      <c r="AO206" s="1">
        <f>IF(ISNA(VLOOKUP($CZ206,'Audit Values'!$A$2:$AE$439,2,FALSE)),'Preliminary SO66'!X203,VLOOKUP($CZ206,'Audit Values'!$A$2:$AE$439,24,FALSE))</f>
        <v>0</v>
      </c>
      <c r="AP206" s="188">
        <v>2199303</v>
      </c>
      <c r="AQ206" s="113">
        <f>AP206/Weightings!$M$5</f>
        <v>573</v>
      </c>
      <c r="AR206" s="113">
        <f t="shared" si="267"/>
        <v>2612.5</v>
      </c>
      <c r="AS206" s="1">
        <f t="shared" si="268"/>
        <v>3185.5</v>
      </c>
      <c r="AT206" s="1">
        <f t="shared" si="269"/>
        <v>3185.5</v>
      </c>
      <c r="AU206" s="2">
        <f t="shared" si="283"/>
        <v>0</v>
      </c>
      <c r="AV206" s="82">
        <f>IF(ISNA(VLOOKUP($CZ206,'Audit Values'!$A$2:$AC$360,2,FALSE)),"",IF(AND(Weightings!H206&gt;0,VLOOKUP($CZ206,'Audit Values'!$A$2:$AC$360,29,FALSE)&lt;Weightings!H206),Weightings!H206,VLOOKUP($CZ206,'Audit Values'!$A$2:$AC$360,29,FALSE)))</f>
        <v>10</v>
      </c>
      <c r="AW206" s="82" t="str">
        <f>IF(ISNA(VLOOKUP($CZ206,'Audit Values'!$A$2:$AD$360,2,FALSE)),"",VLOOKUP($CZ206,'Audit Values'!$A$2:$AD$360,30,FALSE))</f>
        <v>A</v>
      </c>
      <c r="AX206" s="82" t="str">
        <f>IF(Weightings!G206="","",IF(Weightings!I206="Pending","PX","R"))</f>
        <v>R</v>
      </c>
      <c r="AY206" s="114">
        <f>AR206*Weightings!$M$5+AU206</f>
        <v>10026775</v>
      </c>
      <c r="AZ206" s="2">
        <f>AT206*Weightings!$M$5+AU206</f>
        <v>12225949</v>
      </c>
      <c r="BA206" s="2">
        <f>IF(Weightings!G206&gt;0,Weightings!G206,'Preliminary SO66'!AB203)</f>
        <v>12427828</v>
      </c>
      <c r="BB206" s="2">
        <f t="shared" si="270"/>
        <v>12225949</v>
      </c>
      <c r="BC206" s="124"/>
      <c r="BD206" s="124">
        <f>Weightings!E206</f>
        <v>-1399</v>
      </c>
      <c r="BE206" s="124">
        <f>Weightings!F206</f>
        <v>0</v>
      </c>
      <c r="BF206" s="2">
        <f t="shared" si="271"/>
        <v>-1399</v>
      </c>
      <c r="BG206" s="2">
        <f t="shared" si="272"/>
        <v>12224550</v>
      </c>
      <c r="BH206" s="2">
        <f>MAX(ROUND(((AR206-AO206)*4433)+AP206,0),ROUND(((AR206-AO206)*4433)+Weightings!B206,0))</f>
        <v>13780516</v>
      </c>
      <c r="BI206" s="174">
        <v>0.3</v>
      </c>
      <c r="BJ206" s="2">
        <f t="shared" si="245"/>
        <v>4134155</v>
      </c>
      <c r="BK206" s="173">
        <v>4059959</v>
      </c>
      <c r="BL206" s="2">
        <f t="shared" si="246"/>
        <v>4059959</v>
      </c>
      <c r="BM206" s="3">
        <f t="shared" si="284"/>
        <v>0.29459999999999997</v>
      </c>
      <c r="BN206" s="1">
        <f t="shared" si="273"/>
        <v>0</v>
      </c>
      <c r="BO206" s="4" t="b">
        <f t="shared" si="274"/>
        <v>0</v>
      </c>
      <c r="BP206" s="5">
        <f t="shared" si="275"/>
        <v>0</v>
      </c>
      <c r="BQ206" s="6">
        <f t="shared" si="247"/>
        <v>0</v>
      </c>
      <c r="BR206" s="4">
        <f t="shared" si="276"/>
        <v>0</v>
      </c>
      <c r="BS206" s="4" t="b">
        <f t="shared" si="277"/>
        <v>0</v>
      </c>
      <c r="BT206" s="4">
        <f t="shared" si="278"/>
        <v>0</v>
      </c>
      <c r="BU206" s="6">
        <f t="shared" si="248"/>
        <v>0</v>
      </c>
      <c r="BV206" s="1">
        <f t="shared" si="279"/>
        <v>0</v>
      </c>
      <c r="BW206" s="1">
        <f t="shared" si="280"/>
        <v>63.3</v>
      </c>
      <c r="BX206" s="116">
        <v>125</v>
      </c>
      <c r="BY206" s="7">
        <f t="shared" si="285"/>
        <v>4.9400000000000004</v>
      </c>
      <c r="BZ206" s="7">
        <f>IF(ROUND((Weightings!$P$5*BY206^Weightings!$P$6*Weightings!$P$8 ),2)&lt;Weightings!$P$7,Weightings!$P$7,ROUND((Weightings!$P$5*BY206^Weightings!$P$6*Weightings!$P$8 ),2))</f>
        <v>696.2</v>
      </c>
      <c r="CA206" s="8">
        <f>ROUND(BZ206/Weightings!$M$5,4)</f>
        <v>0.18140000000000001</v>
      </c>
      <c r="CB206" s="1">
        <f t="shared" si="286"/>
        <v>111.9</v>
      </c>
      <c r="CC206" s="173">
        <v>0</v>
      </c>
      <c r="CD206" s="173">
        <v>0</v>
      </c>
      <c r="CE206" s="173">
        <v>0</v>
      </c>
      <c r="CF206" s="177">
        <v>0</v>
      </c>
      <c r="CG206" s="2">
        <f>AS206*Weightings!$M$5*CF206</f>
        <v>0</v>
      </c>
      <c r="CH206" s="2">
        <f t="shared" si="250"/>
        <v>0</v>
      </c>
      <c r="CI206" s="117">
        <f t="shared" si="281"/>
        <v>0.56499999999999995</v>
      </c>
      <c r="CJ206" s="4">
        <f t="shared" si="282"/>
        <v>14.5</v>
      </c>
      <c r="CK206" s="1">
        <f t="shared" si="287"/>
        <v>107.2</v>
      </c>
      <c r="CL206" s="1">
        <f t="shared" si="288"/>
        <v>0</v>
      </c>
      <c r="CM206" s="1">
        <f t="shared" si="289"/>
        <v>0</v>
      </c>
      <c r="CN206" s="1">
        <f>IF(ISNA(VLOOKUP($CZ206,'Audit Values'!$A$2:$AE$439,2,FALSE)),'Preliminary SO66'!T203,VLOOKUP($CZ206,'Audit Values'!$A$2:$AE$439,20,FALSE))</f>
        <v>7.4</v>
      </c>
      <c r="CO206" s="1">
        <f t="shared" si="254"/>
        <v>7.8</v>
      </c>
      <c r="CP206" s="183">
        <v>0</v>
      </c>
      <c r="CQ206" s="1">
        <f t="shared" si="255"/>
        <v>0</v>
      </c>
      <c r="CR206" s="2">
        <f>IF(ISNA(VLOOKUP($CZ206,'Audit Values'!$A$2:$AE$439,2,FALSE)),'Preliminary SO66'!V203,VLOOKUP($CZ206,'Audit Values'!$A$2:$AE$439,22,FALSE))</f>
        <v>0</v>
      </c>
      <c r="CS206" s="1">
        <f t="shared" si="256"/>
        <v>0</v>
      </c>
      <c r="CT206" s="2">
        <f>IF(ISNA(VLOOKUP($CZ206,'Audit Values'!$A$2:$AE$439,2,FALSE)),'Preliminary SO66'!W203,VLOOKUP($CZ206,'Audit Values'!$A$2:$AE$439,23,FALSE))</f>
        <v>0</v>
      </c>
      <c r="CU206" s="1">
        <f t="shared" si="291"/>
        <v>0</v>
      </c>
      <c r="CV206" s="1">
        <f t="shared" si="292"/>
        <v>7.8</v>
      </c>
      <c r="CW206" s="176">
        <v>0</v>
      </c>
      <c r="CX206" s="2">
        <f>IF(CW206&gt;0,Weightings!$M$11*AR206,0)</f>
        <v>0</v>
      </c>
      <c r="CY206" s="2">
        <f t="shared" si="290"/>
        <v>0</v>
      </c>
      <c r="CZ206" s="108" t="s">
        <v>498</v>
      </c>
    </row>
    <row r="207" spans="1:104">
      <c r="A207" s="82">
        <v>415</v>
      </c>
      <c r="B207" s="4" t="s">
        <v>96</v>
      </c>
      <c r="C207" s="4" t="s">
        <v>833</v>
      </c>
      <c r="D207" s="1">
        <v>844.7</v>
      </c>
      <c r="E207" s="1">
        <v>0</v>
      </c>
      <c r="F207" s="1">
        <f t="shared" si="240"/>
        <v>844.7</v>
      </c>
      <c r="G207" s="1">
        <v>847.1</v>
      </c>
      <c r="H207" s="1">
        <v>0</v>
      </c>
      <c r="I207" s="1">
        <f t="shared" si="257"/>
        <v>847.1</v>
      </c>
      <c r="J207" s="1">
        <f t="shared" si="258"/>
        <v>813.7</v>
      </c>
      <c r="K207" s="1">
        <f>IF(ISNA(VLOOKUP($CZ207,'Audit Values'!$A$2:$AE$439,2,FALSE)),'Preliminary SO66'!B204,VLOOKUP($CZ207,'Audit Values'!$A$2:$AE$439,31,FALSE))</f>
        <v>813.7</v>
      </c>
      <c r="L207" s="1">
        <f t="shared" si="259"/>
        <v>847.1</v>
      </c>
      <c r="M207" s="1">
        <f>IF(ISNA(VLOOKUP($CZ207,'Audit Values'!$A$2:$AE$439,2,FALSE)),'Preliminary SO66'!Z204,VLOOKUP($CZ207,'Audit Values'!$A$2:$AE$439,26,FALSE))</f>
        <v>0</v>
      </c>
      <c r="N207" s="1">
        <f t="shared" si="260"/>
        <v>847.1</v>
      </c>
      <c r="O207" s="1">
        <f>IF(ISNA(VLOOKUP($CZ207,'Audit Values'!$A$2:$AE$439,2,FALSE)),'Preliminary SO66'!C204,IF(VLOOKUP($CZ207,'Audit Values'!$A$2:$AE$439,28,FALSE)="",VLOOKUP($CZ207,'Audit Values'!$A$2:$AE$439,3,FALSE),VLOOKUP($CZ207,'Audit Values'!$A$2:$AE$439,28,FALSE)))</f>
        <v>0</v>
      </c>
      <c r="P207" s="109">
        <f t="shared" si="261"/>
        <v>813.7</v>
      </c>
      <c r="Q207" s="110">
        <f t="shared" si="262"/>
        <v>813.7</v>
      </c>
      <c r="R207" s="111">
        <f t="shared" si="263"/>
        <v>813.7</v>
      </c>
      <c r="S207" s="1">
        <f t="shared" si="264"/>
        <v>847.1</v>
      </c>
      <c r="T207" s="1">
        <f t="shared" ref="T207:T267" si="293">CN207</f>
        <v>0</v>
      </c>
      <c r="U207" s="1">
        <f t="shared" si="265"/>
        <v>252.7</v>
      </c>
      <c r="V207" s="1">
        <f t="shared" si="251"/>
        <v>252.7</v>
      </c>
      <c r="W207" s="1">
        <f t="shared" si="252"/>
        <v>0</v>
      </c>
      <c r="X207" s="1">
        <f>IF(ISNA(VLOOKUP($CZ207,'Audit Values'!$A$2:$AE$439,2,FALSE)),'Preliminary SO66'!D204,VLOOKUP($CZ207,'Audit Values'!$A$2:$AE$439,4,FALSE))</f>
        <v>177.6</v>
      </c>
      <c r="Y207" s="1">
        <f>ROUND((X207/6)*Weightings!$M$6,1)</f>
        <v>14.8</v>
      </c>
      <c r="Z207" s="1">
        <f>IF(ISNA(VLOOKUP($CZ207,'Audit Values'!$A$2:$AE$439,2,FALSE)),'Preliminary SO66'!F204,VLOOKUP($CZ207,'Audit Values'!$A$2:$AE$439,6,FALSE))</f>
        <v>0</v>
      </c>
      <c r="AA207" s="1">
        <f>ROUND((Z207/6)*Weightings!$M$7,1)</f>
        <v>0</v>
      </c>
      <c r="AB207" s="2">
        <f>IF(ISNA(VLOOKUP($CZ207,'Audit Values'!$A$2:$AE$439,2,FALSE)),'Preliminary SO66'!H204,VLOOKUP($CZ207,'Audit Values'!$A$2:$AE$439,8,FALSE))</f>
        <v>352</v>
      </c>
      <c r="AC207" s="1">
        <f>ROUND(AB207*Weightings!$M$8,1)</f>
        <v>160.5</v>
      </c>
      <c r="AD207" s="1">
        <f t="shared" si="249"/>
        <v>16.3</v>
      </c>
      <c r="AE207" s="185">
        <v>40</v>
      </c>
      <c r="AF207" s="1">
        <f>AE207*Weightings!$M$9</f>
        <v>1.9</v>
      </c>
      <c r="AG207" s="1">
        <f>IF(ISNA(VLOOKUP($CZ207,'Audit Values'!$A$2:$AE$439,2,FALSE)),'Preliminary SO66'!L204,VLOOKUP($CZ207,'Audit Values'!$A$2:$AE$439,12,FALSE))</f>
        <v>0</v>
      </c>
      <c r="AH207" s="1">
        <f>ROUND(AG207*Weightings!$M$10,1)</f>
        <v>0</v>
      </c>
      <c r="AI207" s="1">
        <f>IF(ISNA(VLOOKUP($CZ207,'Audit Values'!$A$2:$AE$439,2,FALSE)),'Preliminary SO66'!O204,VLOOKUP($CZ207,'Audit Values'!$A$2:$AE$439,15,FALSE))</f>
        <v>241</v>
      </c>
      <c r="AJ207" s="1">
        <f t="shared" si="266"/>
        <v>67.599999999999994</v>
      </c>
      <c r="AK207" s="1">
        <f>CC207/Weightings!$M$5</f>
        <v>0</v>
      </c>
      <c r="AL207" s="1">
        <f>CD207/Weightings!$M$5</f>
        <v>0</v>
      </c>
      <c r="AM207" s="1">
        <f>CH207/Weightings!$M$5</f>
        <v>0</v>
      </c>
      <c r="AN207" s="1">
        <f t="shared" si="253"/>
        <v>0</v>
      </c>
      <c r="AO207" s="1">
        <f>IF(ISNA(VLOOKUP($CZ207,'Audit Values'!$A$2:$AE$439,2,FALSE)),'Preliminary SO66'!X204,VLOOKUP($CZ207,'Audit Values'!$A$2:$AE$439,24,FALSE))</f>
        <v>2</v>
      </c>
      <c r="AP207" s="188">
        <v>964171</v>
      </c>
      <c r="AQ207" s="113">
        <f>AP207/Weightings!$M$5</f>
        <v>251.2</v>
      </c>
      <c r="AR207" s="113">
        <f t="shared" si="267"/>
        <v>1362.9</v>
      </c>
      <c r="AS207" s="1">
        <f t="shared" si="268"/>
        <v>1614.1</v>
      </c>
      <c r="AT207" s="1">
        <f t="shared" si="269"/>
        <v>1614.1</v>
      </c>
      <c r="AU207" s="2">
        <f t="shared" si="283"/>
        <v>0</v>
      </c>
      <c r="AV207" s="82">
        <f>IF(ISNA(VLOOKUP($CZ207,'Audit Values'!$A$2:$AC$360,2,FALSE)),"",IF(AND(Weightings!H207&gt;0,VLOOKUP($CZ207,'Audit Values'!$A$2:$AC$360,29,FALSE)&lt;Weightings!H207),Weightings!H207,VLOOKUP($CZ207,'Audit Values'!$A$2:$AC$360,29,FALSE)))</f>
        <v>15</v>
      </c>
      <c r="AW207" s="82" t="str">
        <f>IF(ISNA(VLOOKUP($CZ207,'Audit Values'!$A$2:$AD$360,2,FALSE)),"",VLOOKUP($CZ207,'Audit Values'!$A$2:$AD$360,30,FALSE))</f>
        <v>A</v>
      </c>
      <c r="AX207" s="82" t="str">
        <f>IF(Weightings!G207="","",IF(Weightings!I207="Pending","PX","R"))</f>
        <v/>
      </c>
      <c r="AY207" s="114">
        <f>AR207*Weightings!$M$5+AU207</f>
        <v>5230810</v>
      </c>
      <c r="AZ207" s="2">
        <f>AT207*Weightings!$M$5+AU207</f>
        <v>6194916</v>
      </c>
      <c r="BA207" s="2">
        <f>IF(Weightings!G207&gt;0,Weightings!G207,'Preliminary SO66'!AB204)</f>
        <v>6383362</v>
      </c>
      <c r="BB207" s="2">
        <f t="shared" si="270"/>
        <v>6194916</v>
      </c>
      <c r="BC207" s="124"/>
      <c r="BD207" s="124">
        <f>Weightings!E207</f>
        <v>0</v>
      </c>
      <c r="BE207" s="124">
        <f>Weightings!F207</f>
        <v>0</v>
      </c>
      <c r="BF207" s="2">
        <f t="shared" si="271"/>
        <v>0</v>
      </c>
      <c r="BG207" s="2">
        <f t="shared" si="272"/>
        <v>6194916</v>
      </c>
      <c r="BH207" s="2">
        <f>MAX(ROUND(((AR207-AO207)*4433)+AP207,0),ROUND(((AR207-AO207)*4433)+Weightings!B207,0))</f>
        <v>7009645</v>
      </c>
      <c r="BI207" s="174">
        <v>0.3</v>
      </c>
      <c r="BJ207" s="2">
        <f t="shared" si="245"/>
        <v>2102894</v>
      </c>
      <c r="BK207" s="173">
        <v>2162821</v>
      </c>
      <c r="BL207" s="2">
        <f t="shared" si="246"/>
        <v>2102894</v>
      </c>
      <c r="BM207" s="3">
        <f t="shared" si="284"/>
        <v>0.3</v>
      </c>
      <c r="BN207" s="1">
        <f t="shared" si="273"/>
        <v>0</v>
      </c>
      <c r="BO207" s="4" t="b">
        <f t="shared" si="274"/>
        <v>0</v>
      </c>
      <c r="BP207" s="5">
        <f t="shared" si="275"/>
        <v>0</v>
      </c>
      <c r="BQ207" s="6">
        <f t="shared" si="247"/>
        <v>0</v>
      </c>
      <c r="BR207" s="4">
        <f t="shared" si="276"/>
        <v>0</v>
      </c>
      <c r="BS207" s="4" t="b">
        <f t="shared" si="277"/>
        <v>1</v>
      </c>
      <c r="BT207" s="4">
        <f t="shared" si="278"/>
        <v>677.03629999999998</v>
      </c>
      <c r="BU207" s="6">
        <f t="shared" si="248"/>
        <v>0.29831000000000002</v>
      </c>
      <c r="BV207" s="1">
        <f t="shared" si="279"/>
        <v>252.7</v>
      </c>
      <c r="BW207" s="1">
        <f t="shared" si="280"/>
        <v>0</v>
      </c>
      <c r="BX207" s="116">
        <v>331</v>
      </c>
      <c r="BY207" s="7">
        <f t="shared" si="285"/>
        <v>0.73</v>
      </c>
      <c r="BZ207" s="7">
        <f>IF(ROUND((Weightings!$P$5*BY207^Weightings!$P$6*Weightings!$P$8 ),2)&lt;Weightings!$P$7,Weightings!$P$7,ROUND((Weightings!$P$5*BY207^Weightings!$P$6*Weightings!$P$8 ),2))</f>
        <v>1076.8399999999999</v>
      </c>
      <c r="CA207" s="8">
        <f>ROUND(BZ207/Weightings!$M$5,4)</f>
        <v>0.28060000000000002</v>
      </c>
      <c r="CB207" s="1">
        <f t="shared" si="286"/>
        <v>67.599999999999994</v>
      </c>
      <c r="CC207" s="173">
        <v>0</v>
      </c>
      <c r="CD207" s="173">
        <v>0</v>
      </c>
      <c r="CE207" s="173">
        <v>0</v>
      </c>
      <c r="CF207" s="177">
        <v>0</v>
      </c>
      <c r="CG207" s="2">
        <f>AS207*Weightings!$M$5*CF207</f>
        <v>0</v>
      </c>
      <c r="CH207" s="2">
        <f t="shared" si="250"/>
        <v>0</v>
      </c>
      <c r="CI207" s="117">
        <f t="shared" si="281"/>
        <v>0.41599999999999998</v>
      </c>
      <c r="CJ207" s="4">
        <f t="shared" si="282"/>
        <v>2.6</v>
      </c>
      <c r="CK207" s="1">
        <f t="shared" si="287"/>
        <v>0</v>
      </c>
      <c r="CL207" s="1">
        <f t="shared" si="288"/>
        <v>0</v>
      </c>
      <c r="CM207" s="1">
        <f t="shared" si="289"/>
        <v>16.3</v>
      </c>
      <c r="CN207" s="1">
        <f>IF(ISNA(VLOOKUP($CZ207,'Audit Values'!$A$2:$AE$439,2,FALSE)),'Preliminary SO66'!T204,VLOOKUP($CZ207,'Audit Values'!$A$2:$AE$439,20,FALSE))</f>
        <v>0</v>
      </c>
      <c r="CO207" s="1">
        <f t="shared" si="254"/>
        <v>0</v>
      </c>
      <c r="CP207" s="183">
        <v>0</v>
      </c>
      <c r="CQ207" s="1">
        <f t="shared" si="255"/>
        <v>0</v>
      </c>
      <c r="CR207" s="2">
        <f>IF(ISNA(VLOOKUP($CZ207,'Audit Values'!$A$2:$AE$439,2,FALSE)),'Preliminary SO66'!V204,VLOOKUP($CZ207,'Audit Values'!$A$2:$AE$439,22,FALSE))</f>
        <v>0</v>
      </c>
      <c r="CS207" s="1">
        <f t="shared" si="256"/>
        <v>0</v>
      </c>
      <c r="CT207" s="2">
        <f>IF(ISNA(VLOOKUP($CZ207,'Audit Values'!$A$2:$AE$439,2,FALSE)),'Preliminary SO66'!W204,VLOOKUP($CZ207,'Audit Values'!$A$2:$AE$439,23,FALSE))</f>
        <v>0</v>
      </c>
      <c r="CU207" s="1">
        <f t="shared" si="291"/>
        <v>0</v>
      </c>
      <c r="CV207" s="1">
        <f t="shared" si="292"/>
        <v>0</v>
      </c>
      <c r="CW207" s="176">
        <v>0</v>
      </c>
      <c r="CX207" s="2">
        <f>IF(CW207&gt;0,Weightings!$M$11*AR207,0)</f>
        <v>0</v>
      </c>
      <c r="CY207" s="2">
        <f t="shared" si="290"/>
        <v>0</v>
      </c>
      <c r="CZ207" s="108" t="s">
        <v>499</v>
      </c>
    </row>
    <row r="208" spans="1:104">
      <c r="A208" s="82">
        <v>416</v>
      </c>
      <c r="B208" s="4" t="s">
        <v>75</v>
      </c>
      <c r="C208" s="4" t="s">
        <v>834</v>
      </c>
      <c r="D208" s="1">
        <v>1673.4</v>
      </c>
      <c r="E208" s="1">
        <v>0</v>
      </c>
      <c r="F208" s="1">
        <f t="shared" si="240"/>
        <v>1673.4</v>
      </c>
      <c r="G208" s="1">
        <v>1706.7</v>
      </c>
      <c r="H208" s="1">
        <v>0</v>
      </c>
      <c r="I208" s="1">
        <f t="shared" si="257"/>
        <v>1706.7</v>
      </c>
      <c r="J208" s="1">
        <f t="shared" si="258"/>
        <v>1691.1</v>
      </c>
      <c r="K208" s="1">
        <f>IF(ISNA(VLOOKUP($CZ208,'Audit Values'!$A$2:$AE$439,2,FALSE)),'Preliminary SO66'!B205,VLOOKUP($CZ208,'Audit Values'!$A$2:$AE$439,31,FALSE))</f>
        <v>1691.1</v>
      </c>
      <c r="L208" s="1">
        <f t="shared" si="259"/>
        <v>1706.7</v>
      </c>
      <c r="M208" s="1">
        <f>IF(ISNA(VLOOKUP($CZ208,'Audit Values'!$A$2:$AE$439,2,FALSE)),'Preliminary SO66'!Z205,VLOOKUP($CZ208,'Audit Values'!$A$2:$AE$439,26,FALSE))</f>
        <v>0</v>
      </c>
      <c r="N208" s="1">
        <f t="shared" si="260"/>
        <v>1706.7</v>
      </c>
      <c r="O208" s="1">
        <f>IF(ISNA(VLOOKUP($CZ208,'Audit Values'!$A$2:$AE$439,2,FALSE)),'Preliminary SO66'!C205,IF(VLOOKUP($CZ208,'Audit Values'!$A$2:$AE$439,28,FALSE)="",VLOOKUP($CZ208,'Audit Values'!$A$2:$AE$439,3,FALSE),VLOOKUP($CZ208,'Audit Values'!$A$2:$AE$439,28,FALSE)))</f>
        <v>0</v>
      </c>
      <c r="P208" s="109">
        <f t="shared" si="261"/>
        <v>1691.1</v>
      </c>
      <c r="Q208" s="110">
        <f t="shared" si="262"/>
        <v>1691.1</v>
      </c>
      <c r="R208" s="111">
        <f t="shared" si="263"/>
        <v>1691.1</v>
      </c>
      <c r="S208" s="1">
        <f t="shared" si="264"/>
        <v>1706.7</v>
      </c>
      <c r="T208" s="1">
        <f t="shared" si="293"/>
        <v>0</v>
      </c>
      <c r="U208" s="1">
        <f t="shared" si="265"/>
        <v>59.8</v>
      </c>
      <c r="V208" s="1">
        <f t="shared" si="251"/>
        <v>0</v>
      </c>
      <c r="W208" s="1">
        <f t="shared" si="252"/>
        <v>59.8</v>
      </c>
      <c r="X208" s="1">
        <f>IF(ISNA(VLOOKUP($CZ208,'Audit Values'!$A$2:$AE$439,2,FALSE)),'Preliminary SO66'!D205,VLOOKUP($CZ208,'Audit Values'!$A$2:$AE$439,4,FALSE))</f>
        <v>253.4</v>
      </c>
      <c r="Y208" s="1">
        <f>ROUND((X208/6)*Weightings!$M$6,1)</f>
        <v>21.1</v>
      </c>
      <c r="Z208" s="1">
        <f>IF(ISNA(VLOOKUP($CZ208,'Audit Values'!$A$2:$AE$439,2,FALSE)),'Preliminary SO66'!F205,VLOOKUP($CZ208,'Audit Values'!$A$2:$AE$439,6,FALSE))</f>
        <v>30.8</v>
      </c>
      <c r="AA208" s="1">
        <f>ROUND((Z208/6)*Weightings!$M$7,1)</f>
        <v>2</v>
      </c>
      <c r="AB208" s="2">
        <f>IF(ISNA(VLOOKUP($CZ208,'Audit Values'!$A$2:$AE$439,2,FALSE)),'Preliminary SO66'!H205,VLOOKUP($CZ208,'Audit Values'!$A$2:$AE$439,8,FALSE))</f>
        <v>287</v>
      </c>
      <c r="AC208" s="1">
        <f>ROUND(AB208*Weightings!$M$8,1)</f>
        <v>130.9</v>
      </c>
      <c r="AD208" s="1">
        <f t="shared" si="249"/>
        <v>0</v>
      </c>
      <c r="AE208" s="185">
        <v>93</v>
      </c>
      <c r="AF208" s="1">
        <f>AE208*Weightings!$M$9</f>
        <v>4.3</v>
      </c>
      <c r="AG208" s="1">
        <f>IF(ISNA(VLOOKUP($CZ208,'Audit Values'!$A$2:$AE$439,2,FALSE)),'Preliminary SO66'!L205,VLOOKUP($CZ208,'Audit Values'!$A$2:$AE$439,12,FALSE))</f>
        <v>0</v>
      </c>
      <c r="AH208" s="1">
        <f>ROUND(AG208*Weightings!$M$10,1)</f>
        <v>0</v>
      </c>
      <c r="AI208" s="1">
        <f>IF(ISNA(VLOOKUP($CZ208,'Audit Values'!$A$2:$AE$439,2,FALSE)),'Preliminary SO66'!O205,VLOOKUP($CZ208,'Audit Values'!$A$2:$AE$439,15,FALSE))</f>
        <v>739</v>
      </c>
      <c r="AJ208" s="1">
        <f t="shared" si="266"/>
        <v>135.30000000000001</v>
      </c>
      <c r="AK208" s="1">
        <f>CC208/Weightings!$M$5</f>
        <v>0</v>
      </c>
      <c r="AL208" s="1">
        <f>CD208/Weightings!$M$5</f>
        <v>0</v>
      </c>
      <c r="AM208" s="1">
        <f>CH208/Weightings!$M$5</f>
        <v>0</v>
      </c>
      <c r="AN208" s="1">
        <f t="shared" si="253"/>
        <v>0</v>
      </c>
      <c r="AO208" s="1">
        <f>IF(ISNA(VLOOKUP($CZ208,'Audit Values'!$A$2:$AE$439,2,FALSE)),'Preliminary SO66'!X205,VLOOKUP($CZ208,'Audit Values'!$A$2:$AE$439,24,FALSE))</f>
        <v>0</v>
      </c>
      <c r="AP208" s="188">
        <v>1397216</v>
      </c>
      <c r="AQ208" s="113">
        <f>AP208/Weightings!$M$5</f>
        <v>364</v>
      </c>
      <c r="AR208" s="113">
        <f t="shared" si="267"/>
        <v>2060.1</v>
      </c>
      <c r="AS208" s="1">
        <f t="shared" si="268"/>
        <v>2424.1</v>
      </c>
      <c r="AT208" s="1">
        <f t="shared" si="269"/>
        <v>2424.1</v>
      </c>
      <c r="AU208" s="2">
        <f t="shared" si="283"/>
        <v>0</v>
      </c>
      <c r="AV208" s="82">
        <f>IF(ISNA(VLOOKUP($CZ208,'Audit Values'!$A$2:$AC$360,2,FALSE)),"",IF(AND(Weightings!H208&gt;0,VLOOKUP($CZ208,'Audit Values'!$A$2:$AC$360,29,FALSE)&lt;Weightings!H208),Weightings!H208,VLOOKUP($CZ208,'Audit Values'!$A$2:$AC$360,29,FALSE)))</f>
        <v>1</v>
      </c>
      <c r="AW208" s="82" t="str">
        <f>IF(ISNA(VLOOKUP($CZ208,'Audit Values'!$A$2:$AD$360,2,FALSE)),"",VLOOKUP($CZ208,'Audit Values'!$A$2:$AD$360,30,FALSE))</f>
        <v>A</v>
      </c>
      <c r="AX208" s="82" t="str">
        <f>IF(Weightings!G208="","",IF(Weightings!I208="Pending","PX","R"))</f>
        <v/>
      </c>
      <c r="AY208" s="114">
        <f>AR208*Weightings!$M$5+AU208</f>
        <v>7906664</v>
      </c>
      <c r="AZ208" s="2">
        <f>AT208*Weightings!$M$5+AU208</f>
        <v>9303696</v>
      </c>
      <c r="BA208" s="2">
        <f>IF(Weightings!G208&gt;0,Weightings!G208,'Preliminary SO66'!AB205)</f>
        <v>9827967</v>
      </c>
      <c r="BB208" s="2">
        <f t="shared" si="270"/>
        <v>9303696</v>
      </c>
      <c r="BC208" s="124"/>
      <c r="BD208" s="124">
        <f>Weightings!E208</f>
        <v>0</v>
      </c>
      <c r="BE208" s="124">
        <f>Weightings!F208</f>
        <v>0</v>
      </c>
      <c r="BF208" s="2">
        <f t="shared" si="271"/>
        <v>0</v>
      </c>
      <c r="BG208" s="2">
        <f t="shared" si="272"/>
        <v>9303696</v>
      </c>
      <c r="BH208" s="2">
        <f>MAX(ROUND(((AR208-AO208)*4433)+AP208,0),ROUND(((AR208-AO208)*4433)+Weightings!B208,0))</f>
        <v>10529639</v>
      </c>
      <c r="BI208" s="174">
        <v>0.3</v>
      </c>
      <c r="BJ208" s="2">
        <f t="shared" si="245"/>
        <v>3158892</v>
      </c>
      <c r="BK208" s="173">
        <v>3326462</v>
      </c>
      <c r="BL208" s="2">
        <f t="shared" si="246"/>
        <v>3158892</v>
      </c>
      <c r="BM208" s="3">
        <f t="shared" si="284"/>
        <v>0.3</v>
      </c>
      <c r="BN208" s="1">
        <f t="shared" si="273"/>
        <v>0</v>
      </c>
      <c r="BO208" s="4" t="b">
        <f t="shared" si="274"/>
        <v>0</v>
      </c>
      <c r="BP208" s="5">
        <f t="shared" si="275"/>
        <v>0</v>
      </c>
      <c r="BQ208" s="6">
        <f t="shared" si="247"/>
        <v>0</v>
      </c>
      <c r="BR208" s="4">
        <f t="shared" si="276"/>
        <v>0</v>
      </c>
      <c r="BS208" s="4" t="b">
        <f t="shared" si="277"/>
        <v>0</v>
      </c>
      <c r="BT208" s="4">
        <f t="shared" si="278"/>
        <v>0</v>
      </c>
      <c r="BU208" s="6">
        <f t="shared" si="248"/>
        <v>0</v>
      </c>
      <c r="BV208" s="1">
        <f t="shared" si="279"/>
        <v>0</v>
      </c>
      <c r="BW208" s="1">
        <f t="shared" si="280"/>
        <v>59.8</v>
      </c>
      <c r="BX208" s="116">
        <v>156</v>
      </c>
      <c r="BY208" s="7">
        <f t="shared" si="285"/>
        <v>4.74</v>
      </c>
      <c r="BZ208" s="7">
        <f>IF(ROUND((Weightings!$P$5*BY208^Weightings!$P$6*Weightings!$P$8 ),2)&lt;Weightings!$P$7,Weightings!$P$7,ROUND((Weightings!$P$5*BY208^Weightings!$P$6*Weightings!$P$8 ),2))</f>
        <v>702.79</v>
      </c>
      <c r="CA208" s="8">
        <f>ROUND(BZ208/Weightings!$M$5,4)</f>
        <v>0.18310000000000001</v>
      </c>
      <c r="CB208" s="1">
        <f t="shared" si="286"/>
        <v>135.30000000000001</v>
      </c>
      <c r="CC208" s="173">
        <v>0</v>
      </c>
      <c r="CD208" s="173">
        <v>0</v>
      </c>
      <c r="CE208" s="173">
        <v>0</v>
      </c>
      <c r="CF208" s="177">
        <v>2.7699999999999999E-2</v>
      </c>
      <c r="CG208" s="2">
        <f>AS208*Weightings!$M$5*CF208</f>
        <v>257712</v>
      </c>
      <c r="CH208" s="2">
        <f t="shared" si="250"/>
        <v>0</v>
      </c>
      <c r="CI208" s="117">
        <f t="shared" si="281"/>
        <v>0.16800000000000001</v>
      </c>
      <c r="CJ208" s="4">
        <f t="shared" si="282"/>
        <v>10.9</v>
      </c>
      <c r="CK208" s="1">
        <f t="shared" si="287"/>
        <v>0</v>
      </c>
      <c r="CL208" s="1">
        <f t="shared" si="288"/>
        <v>0</v>
      </c>
      <c r="CM208" s="1">
        <f t="shared" si="289"/>
        <v>0</v>
      </c>
      <c r="CN208" s="1">
        <f>IF(ISNA(VLOOKUP($CZ208,'Audit Values'!$A$2:$AE$439,2,FALSE)),'Preliminary SO66'!T205,VLOOKUP($CZ208,'Audit Values'!$A$2:$AE$439,20,FALSE))</f>
        <v>0</v>
      </c>
      <c r="CO208" s="1">
        <f t="shared" si="254"/>
        <v>0</v>
      </c>
      <c r="CP208" s="183">
        <v>0</v>
      </c>
      <c r="CQ208" s="1">
        <f t="shared" si="255"/>
        <v>0</v>
      </c>
      <c r="CR208" s="2">
        <f>IF(ISNA(VLOOKUP($CZ208,'Audit Values'!$A$2:$AE$439,2,FALSE)),'Preliminary SO66'!V205,VLOOKUP($CZ208,'Audit Values'!$A$2:$AE$439,22,FALSE))</f>
        <v>0</v>
      </c>
      <c r="CS208" s="1">
        <f t="shared" si="256"/>
        <v>0</v>
      </c>
      <c r="CT208" s="2">
        <f>IF(ISNA(VLOOKUP($CZ208,'Audit Values'!$A$2:$AE$439,2,FALSE)),'Preliminary SO66'!W205,VLOOKUP($CZ208,'Audit Values'!$A$2:$AE$439,23,FALSE))</f>
        <v>0</v>
      </c>
      <c r="CU208" s="1">
        <f t="shared" si="291"/>
        <v>0</v>
      </c>
      <c r="CV208" s="1">
        <f t="shared" si="292"/>
        <v>0</v>
      </c>
      <c r="CW208" s="176">
        <v>0</v>
      </c>
      <c r="CX208" s="2">
        <f>IF(CW208&gt;0,Weightings!$M$11*AR208,0)</f>
        <v>0</v>
      </c>
      <c r="CY208" s="2">
        <f t="shared" si="290"/>
        <v>0</v>
      </c>
      <c r="CZ208" s="108" t="s">
        <v>500</v>
      </c>
    </row>
    <row r="209" spans="1:104">
      <c r="A209" s="82">
        <v>417</v>
      </c>
      <c r="B209" s="4" t="s">
        <v>97</v>
      </c>
      <c r="C209" s="4" t="s">
        <v>835</v>
      </c>
      <c r="D209" s="1">
        <v>745.2</v>
      </c>
      <c r="E209" s="1">
        <v>0</v>
      </c>
      <c r="F209" s="1">
        <f t="shared" si="240"/>
        <v>745.2</v>
      </c>
      <c r="G209" s="1">
        <v>703.8</v>
      </c>
      <c r="H209" s="1">
        <v>0</v>
      </c>
      <c r="I209" s="1">
        <f t="shared" si="257"/>
        <v>703.8</v>
      </c>
      <c r="J209" s="1">
        <f t="shared" si="258"/>
        <v>701</v>
      </c>
      <c r="K209" s="1">
        <f>IF(ISNA(VLOOKUP($CZ209,'Audit Values'!$A$2:$AE$439,2,FALSE)),'Preliminary SO66'!B206,VLOOKUP($CZ209,'Audit Values'!$A$2:$AE$439,31,FALSE))</f>
        <v>701</v>
      </c>
      <c r="L209" s="1">
        <f t="shared" si="259"/>
        <v>716.7</v>
      </c>
      <c r="M209" s="1">
        <f>IF(ISNA(VLOOKUP($CZ209,'Audit Values'!$A$2:$AE$439,2,FALSE)),'Preliminary SO66'!Z206,VLOOKUP($CZ209,'Audit Values'!$A$2:$AE$439,26,FALSE))</f>
        <v>0</v>
      </c>
      <c r="N209" s="1">
        <f t="shared" si="260"/>
        <v>716.7</v>
      </c>
      <c r="O209" s="1">
        <f>IF(ISNA(VLOOKUP($CZ209,'Audit Values'!$A$2:$AE$439,2,FALSE)),'Preliminary SO66'!C206,IF(VLOOKUP($CZ209,'Audit Values'!$A$2:$AE$439,28,FALSE)="",VLOOKUP($CZ209,'Audit Values'!$A$2:$AE$439,3,FALSE),VLOOKUP($CZ209,'Audit Values'!$A$2:$AE$439,28,FALSE)))</f>
        <v>7.5</v>
      </c>
      <c r="P209" s="109">
        <f t="shared" si="261"/>
        <v>708.5</v>
      </c>
      <c r="Q209" s="110">
        <f t="shared" si="262"/>
        <v>708.5</v>
      </c>
      <c r="R209" s="111">
        <f t="shared" si="263"/>
        <v>708.5</v>
      </c>
      <c r="S209" s="1">
        <f t="shared" si="264"/>
        <v>724.2</v>
      </c>
      <c r="T209" s="1">
        <f t="shared" si="293"/>
        <v>0</v>
      </c>
      <c r="U209" s="1">
        <f t="shared" si="265"/>
        <v>246.3</v>
      </c>
      <c r="V209" s="1">
        <f t="shared" si="251"/>
        <v>246.3</v>
      </c>
      <c r="W209" s="1">
        <f t="shared" si="252"/>
        <v>0</v>
      </c>
      <c r="X209" s="1">
        <f>IF(ISNA(VLOOKUP($CZ209,'Audit Values'!$A$2:$AE$439,2,FALSE)),'Preliminary SO66'!D206,VLOOKUP($CZ209,'Audit Values'!$A$2:$AE$439,4,FALSE))</f>
        <v>189.2</v>
      </c>
      <c r="Y209" s="1">
        <f>ROUND((X209/6)*Weightings!$M$6,1)</f>
        <v>15.8</v>
      </c>
      <c r="Z209" s="1">
        <f>IF(ISNA(VLOOKUP($CZ209,'Audit Values'!$A$2:$AE$439,2,FALSE)),'Preliminary SO66'!F206,VLOOKUP($CZ209,'Audit Values'!$A$2:$AE$439,6,FALSE))</f>
        <v>34.700000000000003</v>
      </c>
      <c r="AA209" s="1">
        <f>ROUND((Z209/6)*Weightings!$M$7,1)</f>
        <v>2.2999999999999998</v>
      </c>
      <c r="AB209" s="2">
        <f>IF(ISNA(VLOOKUP($CZ209,'Audit Values'!$A$2:$AE$439,2,FALSE)),'Preliminary SO66'!H206,VLOOKUP($CZ209,'Audit Values'!$A$2:$AE$439,8,FALSE))</f>
        <v>263</v>
      </c>
      <c r="AC209" s="1">
        <f>ROUND(AB209*Weightings!$M$8,1)</f>
        <v>119.9</v>
      </c>
      <c r="AD209" s="1">
        <f t="shared" si="249"/>
        <v>2.4</v>
      </c>
      <c r="AE209" s="185">
        <v>68</v>
      </c>
      <c r="AF209" s="1">
        <f>AE209*Weightings!$M$9</f>
        <v>3.2</v>
      </c>
      <c r="AG209" s="1">
        <f>IF(ISNA(VLOOKUP($CZ209,'Audit Values'!$A$2:$AE$439,2,FALSE)),'Preliminary SO66'!L206,VLOOKUP($CZ209,'Audit Values'!$A$2:$AE$439,12,FALSE))</f>
        <v>0</v>
      </c>
      <c r="AH209" s="1">
        <f>ROUND(AG209*Weightings!$M$10,1)</f>
        <v>0</v>
      </c>
      <c r="AI209" s="1">
        <f>IF(ISNA(VLOOKUP($CZ209,'Audit Values'!$A$2:$AE$439,2,FALSE)),'Preliminary SO66'!O206,VLOOKUP($CZ209,'Audit Values'!$A$2:$AE$439,15,FALSE))</f>
        <v>287</v>
      </c>
      <c r="AJ209" s="1">
        <f t="shared" si="266"/>
        <v>86.6</v>
      </c>
      <c r="AK209" s="1">
        <f>CC209/Weightings!$M$5</f>
        <v>0</v>
      </c>
      <c r="AL209" s="1">
        <f>CD209/Weightings!$M$5</f>
        <v>0</v>
      </c>
      <c r="AM209" s="1">
        <f>CH209/Weightings!$M$5</f>
        <v>0</v>
      </c>
      <c r="AN209" s="1">
        <f t="shared" si="253"/>
        <v>0</v>
      </c>
      <c r="AO209" s="1">
        <f>IF(ISNA(VLOOKUP($CZ209,'Audit Values'!$A$2:$AE$439,2,FALSE)),'Preliminary SO66'!X206,VLOOKUP($CZ209,'Audit Values'!$A$2:$AE$439,24,FALSE))</f>
        <v>0</v>
      </c>
      <c r="AP209" s="188">
        <v>611570.00000000012</v>
      </c>
      <c r="AQ209" s="113">
        <f>AP209/Weightings!$M$5</f>
        <v>159.30000000000001</v>
      </c>
      <c r="AR209" s="113">
        <f t="shared" si="267"/>
        <v>1200.7</v>
      </c>
      <c r="AS209" s="1">
        <f t="shared" si="268"/>
        <v>1360</v>
      </c>
      <c r="AT209" s="1">
        <f t="shared" si="269"/>
        <v>1360</v>
      </c>
      <c r="AU209" s="2">
        <f t="shared" si="283"/>
        <v>0</v>
      </c>
      <c r="AV209" s="142">
        <f>IF(ISNA(VLOOKUP($CZ209,'Audit Values'!$A$2:$AC$360,2,FALSE)),"",IF(AND(Weightings!H209&gt;0,VLOOKUP($CZ209,'Audit Values'!$A$2:$AC$360,29,FALSE)&lt;Weightings!H209),Weightings!H209,VLOOKUP($CZ209,'Audit Values'!$A$2:$AC$360,29,FALSE)))</f>
        <v>18</v>
      </c>
      <c r="AW209" s="142" t="str">
        <f>IF(ISNA(VLOOKUP($CZ209,'Audit Values'!$A$2:$AD$360,2,FALSE)),"",VLOOKUP($CZ209,'Audit Values'!$A$2:$AD$360,30,FALSE))</f>
        <v>A</v>
      </c>
      <c r="AX209" s="159" t="str">
        <f>IF(Weightings!G209="","",IF(Weightings!I209="Pending","PX","R"))</f>
        <v/>
      </c>
      <c r="AY209" s="114">
        <f>AR209*Weightings!$M$5+AU209</f>
        <v>4608287</v>
      </c>
      <c r="AZ209" s="2">
        <f>AT209*Weightings!$M$5+AU209</f>
        <v>5219680</v>
      </c>
      <c r="BA209" s="2">
        <f>IF(Weightings!G209&gt;0,Weightings!G209,'Preliminary SO66'!AB206)</f>
        <v>5280320</v>
      </c>
      <c r="BB209" s="2">
        <f t="shared" si="270"/>
        <v>5219680</v>
      </c>
      <c r="BC209" s="124"/>
      <c r="BD209" s="124">
        <f>Weightings!E209</f>
        <v>0</v>
      </c>
      <c r="BE209" s="124">
        <f>Weightings!F209</f>
        <v>0</v>
      </c>
      <c r="BF209" s="2">
        <f t="shared" si="271"/>
        <v>0</v>
      </c>
      <c r="BG209" s="2">
        <f t="shared" si="272"/>
        <v>5219680</v>
      </c>
      <c r="BH209" s="2">
        <f>MAX(ROUND(((AR209-AO209)*4433)+AP209,0),ROUND(((AR209-AO209)*4433)+Weightings!B209,0))</f>
        <v>5995276</v>
      </c>
      <c r="BI209" s="174">
        <v>0.3</v>
      </c>
      <c r="BJ209" s="2">
        <f t="shared" si="245"/>
        <v>1798583</v>
      </c>
      <c r="BK209" s="173">
        <v>1817201</v>
      </c>
      <c r="BL209" s="2">
        <f t="shared" si="246"/>
        <v>1798583</v>
      </c>
      <c r="BM209" s="3">
        <f t="shared" si="284"/>
        <v>0.3</v>
      </c>
      <c r="BN209" s="1">
        <f t="shared" si="273"/>
        <v>0</v>
      </c>
      <c r="BO209" s="4" t="b">
        <f t="shared" si="274"/>
        <v>0</v>
      </c>
      <c r="BP209" s="5">
        <f t="shared" si="275"/>
        <v>0</v>
      </c>
      <c r="BQ209" s="6">
        <f t="shared" si="247"/>
        <v>0</v>
      </c>
      <c r="BR209" s="4">
        <f t="shared" si="276"/>
        <v>0</v>
      </c>
      <c r="BS209" s="4" t="b">
        <f t="shared" si="277"/>
        <v>1</v>
      </c>
      <c r="BT209" s="4">
        <f t="shared" si="278"/>
        <v>524.94749999999999</v>
      </c>
      <c r="BU209" s="6">
        <f t="shared" si="248"/>
        <v>0.34006500000000001</v>
      </c>
      <c r="BV209" s="1">
        <f t="shared" si="279"/>
        <v>246.3</v>
      </c>
      <c r="BW209" s="1">
        <f t="shared" si="280"/>
        <v>0</v>
      </c>
      <c r="BX209" s="116">
        <v>537</v>
      </c>
      <c r="BY209" s="7">
        <f t="shared" si="285"/>
        <v>0.53</v>
      </c>
      <c r="BZ209" s="7">
        <f>IF(ROUND((Weightings!$P$5*BY209^Weightings!$P$6*Weightings!$P$8 ),2)&lt;Weightings!$P$7,Weightings!$P$7,ROUND((Weightings!$P$5*BY209^Weightings!$P$6*Weightings!$P$8 ),2))</f>
        <v>1158.42</v>
      </c>
      <c r="CA209" s="8">
        <f>ROUND(BZ209/Weightings!$M$5,4)</f>
        <v>0.30180000000000001</v>
      </c>
      <c r="CB209" s="1">
        <f t="shared" si="286"/>
        <v>86.6</v>
      </c>
      <c r="CC209" s="173">
        <v>0</v>
      </c>
      <c r="CD209" s="173">
        <v>0</v>
      </c>
      <c r="CE209" s="173">
        <v>0</v>
      </c>
      <c r="CF209" s="177">
        <v>0</v>
      </c>
      <c r="CG209" s="2">
        <f>AS209*Weightings!$M$5*CF209</f>
        <v>0</v>
      </c>
      <c r="CH209" s="2">
        <f t="shared" si="250"/>
        <v>0</v>
      </c>
      <c r="CI209" s="117">
        <f t="shared" si="281"/>
        <v>0.36299999999999999</v>
      </c>
      <c r="CJ209" s="4">
        <f t="shared" si="282"/>
        <v>1.3</v>
      </c>
      <c r="CK209" s="1">
        <f t="shared" si="287"/>
        <v>0</v>
      </c>
      <c r="CL209" s="1">
        <f t="shared" si="288"/>
        <v>0</v>
      </c>
      <c r="CM209" s="1">
        <f t="shared" si="289"/>
        <v>2.4</v>
      </c>
      <c r="CN209" s="1">
        <f>IF(ISNA(VLOOKUP($CZ209,'Audit Values'!$A$2:$AE$439,2,FALSE)),'Preliminary SO66'!T206,VLOOKUP($CZ209,'Audit Values'!$A$2:$AE$439,20,FALSE))</f>
        <v>0</v>
      </c>
      <c r="CO209" s="1">
        <f t="shared" si="254"/>
        <v>0</v>
      </c>
      <c r="CP209" s="183">
        <v>0</v>
      </c>
      <c r="CQ209" s="1">
        <f t="shared" si="255"/>
        <v>0</v>
      </c>
      <c r="CR209" s="2">
        <f>IF(ISNA(VLOOKUP($CZ209,'Audit Values'!$A$2:$AE$439,2,FALSE)),'Preliminary SO66'!V206,VLOOKUP($CZ209,'Audit Values'!$A$2:$AE$439,22,FALSE))</f>
        <v>0</v>
      </c>
      <c r="CS209" s="1">
        <f t="shared" si="256"/>
        <v>0</v>
      </c>
      <c r="CT209" s="2">
        <f>IF(ISNA(VLOOKUP($CZ209,'Audit Values'!$A$2:$AE$439,2,FALSE)),'Preliminary SO66'!W206,VLOOKUP($CZ209,'Audit Values'!$A$2:$AE$439,23,FALSE))</f>
        <v>0</v>
      </c>
      <c r="CU209" s="1">
        <f t="shared" si="291"/>
        <v>0</v>
      </c>
      <c r="CV209" s="1">
        <f t="shared" si="292"/>
        <v>0</v>
      </c>
      <c r="CW209" s="176">
        <v>0</v>
      </c>
      <c r="CX209" s="2">
        <f>IF(CW209&gt;0,Weightings!$M$11*AR209,0)</f>
        <v>0</v>
      </c>
      <c r="CY209" s="2">
        <f t="shared" si="290"/>
        <v>0</v>
      </c>
      <c r="CZ209" s="108" t="s">
        <v>501</v>
      </c>
    </row>
    <row r="210" spans="1:104">
      <c r="A210" s="82">
        <v>418</v>
      </c>
      <c r="B210" s="4" t="s">
        <v>93</v>
      </c>
      <c r="C210" s="4" t="s">
        <v>836</v>
      </c>
      <c r="D210" s="1">
        <v>2264.9</v>
      </c>
      <c r="E210" s="1">
        <v>0</v>
      </c>
      <c r="F210" s="1">
        <f t="shared" si="240"/>
        <v>2264.9</v>
      </c>
      <c r="G210" s="1">
        <v>2254.1999999999998</v>
      </c>
      <c r="H210" s="1">
        <v>0</v>
      </c>
      <c r="I210" s="1">
        <f t="shared" si="257"/>
        <v>2254.1999999999998</v>
      </c>
      <c r="J210" s="1">
        <f t="shared" si="258"/>
        <v>2225.9</v>
      </c>
      <c r="K210" s="1">
        <f>IF(ISNA(VLOOKUP($CZ210,'Audit Values'!$A$2:$AE$439,2,FALSE)),'Preliminary SO66'!B207,VLOOKUP($CZ210,'Audit Values'!$A$2:$AE$439,31,FALSE))</f>
        <v>2225.9</v>
      </c>
      <c r="L210" s="1">
        <f t="shared" si="259"/>
        <v>2254.1999999999998</v>
      </c>
      <c r="M210" s="1">
        <f>IF(ISNA(VLOOKUP($CZ210,'Audit Values'!$A$2:$AE$439,2,FALSE)),'Preliminary SO66'!Z207,VLOOKUP($CZ210,'Audit Values'!$A$2:$AE$439,26,FALSE))</f>
        <v>0</v>
      </c>
      <c r="N210" s="1">
        <f t="shared" si="260"/>
        <v>2254.1999999999998</v>
      </c>
      <c r="O210" s="1">
        <f>IF(ISNA(VLOOKUP($CZ210,'Audit Values'!$A$2:$AE$439,2,FALSE)),'Preliminary SO66'!C207,IF(VLOOKUP($CZ210,'Audit Values'!$A$2:$AE$439,28,FALSE)="",VLOOKUP($CZ210,'Audit Values'!$A$2:$AE$439,3,FALSE),VLOOKUP($CZ210,'Audit Values'!$A$2:$AE$439,28,FALSE)))</f>
        <v>16.5</v>
      </c>
      <c r="P210" s="109">
        <f t="shared" si="261"/>
        <v>2242.4</v>
      </c>
      <c r="Q210" s="110">
        <f t="shared" si="262"/>
        <v>2242.4</v>
      </c>
      <c r="R210" s="111">
        <f t="shared" si="263"/>
        <v>2242.4</v>
      </c>
      <c r="S210" s="1">
        <f t="shared" si="264"/>
        <v>2270.6999999999998</v>
      </c>
      <c r="T210" s="1">
        <f t="shared" si="293"/>
        <v>0</v>
      </c>
      <c r="U210" s="1">
        <f t="shared" si="265"/>
        <v>79.599999999999994</v>
      </c>
      <c r="V210" s="1">
        <f t="shared" si="251"/>
        <v>0</v>
      </c>
      <c r="W210" s="1">
        <f t="shared" si="252"/>
        <v>79.599999999999994</v>
      </c>
      <c r="X210" s="1">
        <f>IF(ISNA(VLOOKUP($CZ210,'Audit Values'!$A$2:$AE$439,2,FALSE)),'Preliminary SO66'!D207,VLOOKUP($CZ210,'Audit Values'!$A$2:$AE$439,4,FALSE))</f>
        <v>525.6</v>
      </c>
      <c r="Y210" s="1">
        <f>ROUND((X210/6)*Weightings!$M$6,1)</f>
        <v>43.8</v>
      </c>
      <c r="Z210" s="1">
        <f>IF(ISNA(VLOOKUP($CZ210,'Audit Values'!$A$2:$AE$439,2,FALSE)),'Preliminary SO66'!F207,VLOOKUP($CZ210,'Audit Values'!$A$2:$AE$439,6,FALSE))</f>
        <v>93.4</v>
      </c>
      <c r="AA210" s="1">
        <f>ROUND((Z210/6)*Weightings!$M$7,1)</f>
        <v>6.1</v>
      </c>
      <c r="AB210" s="2">
        <f>IF(ISNA(VLOOKUP($CZ210,'Audit Values'!$A$2:$AE$439,2,FALSE)),'Preliminary SO66'!H207,VLOOKUP($CZ210,'Audit Values'!$A$2:$AE$439,8,FALSE))</f>
        <v>724</v>
      </c>
      <c r="AC210" s="1">
        <f>ROUND(AB210*Weightings!$M$8,1)</f>
        <v>330.1</v>
      </c>
      <c r="AD210" s="1">
        <f t="shared" si="249"/>
        <v>0</v>
      </c>
      <c r="AE210" s="185">
        <v>327</v>
      </c>
      <c r="AF210" s="1">
        <f>AE210*Weightings!$M$9</f>
        <v>15.2</v>
      </c>
      <c r="AG210" s="1">
        <f>IF(ISNA(VLOOKUP($CZ210,'Audit Values'!$A$2:$AE$439,2,FALSE)),'Preliminary SO66'!L207,VLOOKUP($CZ210,'Audit Values'!$A$2:$AE$439,12,FALSE))</f>
        <v>0</v>
      </c>
      <c r="AH210" s="1">
        <f>ROUND(AG210*Weightings!$M$10,1)</f>
        <v>0</v>
      </c>
      <c r="AI210" s="1">
        <f>IF(ISNA(VLOOKUP($CZ210,'Audit Values'!$A$2:$AE$439,2,FALSE)),'Preliminary SO66'!O207,VLOOKUP($CZ210,'Audit Values'!$A$2:$AE$439,15,FALSE))</f>
        <v>149</v>
      </c>
      <c r="AJ210" s="1">
        <f t="shared" si="266"/>
        <v>39.4</v>
      </c>
      <c r="AK210" s="1">
        <f>CC210/Weightings!$M$5</f>
        <v>0</v>
      </c>
      <c r="AL210" s="1">
        <f>CD210/Weightings!$M$5</f>
        <v>0</v>
      </c>
      <c r="AM210" s="1">
        <f>CH210/Weightings!$M$5</f>
        <v>0</v>
      </c>
      <c r="AN210" s="1">
        <f t="shared" si="253"/>
        <v>0</v>
      </c>
      <c r="AO210" s="1">
        <f>IF(ISNA(VLOOKUP($CZ210,'Audit Values'!$A$2:$AE$439,2,FALSE)),'Preliminary SO66'!X207,VLOOKUP($CZ210,'Audit Values'!$A$2:$AE$439,24,FALSE))</f>
        <v>0</v>
      </c>
      <c r="AP210" s="188">
        <v>2713327.0000000005</v>
      </c>
      <c r="AQ210" s="113">
        <f>AP210/Weightings!$M$5</f>
        <v>707</v>
      </c>
      <c r="AR210" s="113">
        <f t="shared" si="267"/>
        <v>2784.9</v>
      </c>
      <c r="AS210" s="1">
        <f t="shared" si="268"/>
        <v>3491.9</v>
      </c>
      <c r="AT210" s="1">
        <f t="shared" si="269"/>
        <v>3491.9</v>
      </c>
      <c r="AU210" s="2">
        <f t="shared" si="283"/>
        <v>95150</v>
      </c>
      <c r="AV210" s="82">
        <f>IF(ISNA(VLOOKUP($CZ210,'Audit Values'!$A$2:$AC$360,2,FALSE)),"",IF(AND(Weightings!H210&gt;0,VLOOKUP($CZ210,'Audit Values'!$A$2:$AC$360,29,FALSE)&lt;Weightings!H210),Weightings!H210,VLOOKUP($CZ210,'Audit Values'!$A$2:$AC$360,29,FALSE)))</f>
        <v>26</v>
      </c>
      <c r="AW210" s="82" t="str">
        <f>IF(ISNA(VLOOKUP($CZ210,'Audit Values'!$A$2:$AD$360,2,FALSE)),"",VLOOKUP($CZ210,'Audit Values'!$A$2:$AD$360,30,FALSE))</f>
        <v>A</v>
      </c>
      <c r="AX210" s="82" t="str">
        <f>IF(Weightings!G210="","",IF(Weightings!I210="Pending","PX","R"))</f>
        <v/>
      </c>
      <c r="AY210" s="114">
        <f>AR210*Weightings!$M$5+AU210</f>
        <v>10783596</v>
      </c>
      <c r="AZ210" s="2">
        <f>AT210*Weightings!$M$5+AU210</f>
        <v>13497062</v>
      </c>
      <c r="BA210" s="2">
        <f>IF(Weightings!G210&gt;0,Weightings!G210,'Preliminary SO66'!AB207)</f>
        <v>14568248</v>
      </c>
      <c r="BB210" s="2">
        <f t="shared" si="270"/>
        <v>13497062</v>
      </c>
      <c r="BC210" s="124"/>
      <c r="BD210" s="124">
        <f>Weightings!E210</f>
        <v>0</v>
      </c>
      <c r="BE210" s="124">
        <f>Weightings!F210</f>
        <v>0</v>
      </c>
      <c r="BF210" s="2">
        <f t="shared" si="271"/>
        <v>0</v>
      </c>
      <c r="BG210" s="2">
        <f t="shared" si="272"/>
        <v>13497062</v>
      </c>
      <c r="BH210" s="2">
        <f>MAX(ROUND(((AR210-AO210)*4433)+AP210,0),ROUND(((AR210-AO210)*4433)+Weightings!B210,0))</f>
        <v>15058789</v>
      </c>
      <c r="BI210" s="174">
        <v>0.3</v>
      </c>
      <c r="BJ210" s="2">
        <f t="shared" si="245"/>
        <v>4517637</v>
      </c>
      <c r="BK210" s="173">
        <v>4865195</v>
      </c>
      <c r="BL210" s="2">
        <f t="shared" si="246"/>
        <v>4517637</v>
      </c>
      <c r="BM210" s="3">
        <f t="shared" si="284"/>
        <v>0.3</v>
      </c>
      <c r="BN210" s="1">
        <f t="shared" si="273"/>
        <v>0</v>
      </c>
      <c r="BO210" s="4" t="b">
        <f t="shared" si="274"/>
        <v>0</v>
      </c>
      <c r="BP210" s="5">
        <f t="shared" si="275"/>
        <v>0</v>
      </c>
      <c r="BQ210" s="6">
        <f t="shared" si="247"/>
        <v>0</v>
      </c>
      <c r="BR210" s="4">
        <f t="shared" si="276"/>
        <v>0</v>
      </c>
      <c r="BS210" s="4" t="b">
        <f t="shared" si="277"/>
        <v>0</v>
      </c>
      <c r="BT210" s="4">
        <f t="shared" si="278"/>
        <v>0</v>
      </c>
      <c r="BU210" s="6">
        <f t="shared" si="248"/>
        <v>0</v>
      </c>
      <c r="BV210" s="1">
        <f t="shared" si="279"/>
        <v>0</v>
      </c>
      <c r="BW210" s="1">
        <f t="shared" si="280"/>
        <v>79.599999999999994</v>
      </c>
      <c r="BX210" s="116">
        <v>156.30000000000001</v>
      </c>
      <c r="BY210" s="7">
        <f t="shared" si="285"/>
        <v>0.95</v>
      </c>
      <c r="BZ210" s="7">
        <f>IF(ROUND((Weightings!$P$5*BY210^Weightings!$P$6*Weightings!$P$8 ),2)&lt;Weightings!$P$7,Weightings!$P$7,ROUND((Weightings!$P$5*BY210^Weightings!$P$6*Weightings!$P$8 ),2))</f>
        <v>1014.04</v>
      </c>
      <c r="CA210" s="8">
        <f>ROUND(BZ210/Weightings!$M$5,4)</f>
        <v>0.26419999999999999</v>
      </c>
      <c r="CB210" s="1">
        <f t="shared" si="286"/>
        <v>39.4</v>
      </c>
      <c r="CC210" s="173">
        <v>0</v>
      </c>
      <c r="CD210" s="173">
        <v>0</v>
      </c>
      <c r="CE210" s="173">
        <v>0</v>
      </c>
      <c r="CF210" s="177">
        <v>0</v>
      </c>
      <c r="CG210" s="2">
        <f>AS210*Weightings!$M$5*CF210</f>
        <v>0</v>
      </c>
      <c r="CH210" s="2">
        <f t="shared" si="250"/>
        <v>0</v>
      </c>
      <c r="CI210" s="117">
        <f t="shared" si="281"/>
        <v>0.31900000000000001</v>
      </c>
      <c r="CJ210" s="4">
        <f t="shared" si="282"/>
        <v>14.5</v>
      </c>
      <c r="CK210" s="1">
        <f t="shared" si="287"/>
        <v>0</v>
      </c>
      <c r="CL210" s="1">
        <f t="shared" si="288"/>
        <v>0</v>
      </c>
      <c r="CM210" s="1">
        <f t="shared" si="289"/>
        <v>0</v>
      </c>
      <c r="CN210" s="1">
        <f>IF(ISNA(VLOOKUP($CZ210,'Audit Values'!$A$2:$AE$439,2,FALSE)),'Preliminary SO66'!T207,VLOOKUP($CZ210,'Audit Values'!$A$2:$AE$439,20,FALSE))</f>
        <v>0</v>
      </c>
      <c r="CO210" s="1">
        <f t="shared" si="254"/>
        <v>0</v>
      </c>
      <c r="CP210" s="183">
        <v>0</v>
      </c>
      <c r="CQ210" s="1">
        <f t="shared" si="255"/>
        <v>0</v>
      </c>
      <c r="CR210" s="2">
        <f>IF(ISNA(VLOOKUP($CZ210,'Audit Values'!$A$2:$AE$439,2,FALSE)),'Preliminary SO66'!V207,VLOOKUP($CZ210,'Audit Values'!$A$2:$AE$439,22,FALSE))</f>
        <v>0</v>
      </c>
      <c r="CS210" s="1">
        <f t="shared" si="256"/>
        <v>0</v>
      </c>
      <c r="CT210" s="2">
        <f>IF(ISNA(VLOOKUP($CZ210,'Audit Values'!$A$2:$AE$439,2,FALSE)),'Preliminary SO66'!W207,VLOOKUP($CZ210,'Audit Values'!$A$2:$AE$439,23,FALSE))</f>
        <v>0</v>
      </c>
      <c r="CU210" s="1">
        <f t="shared" si="291"/>
        <v>0</v>
      </c>
      <c r="CV210" s="1">
        <f t="shared" si="292"/>
        <v>0</v>
      </c>
      <c r="CW210" s="176">
        <v>95150</v>
      </c>
      <c r="CX210" s="2">
        <f>IF(CW210&gt;0,Weightings!$M$11*AR210,0)</f>
        <v>696225</v>
      </c>
      <c r="CY210" s="2">
        <f t="shared" si="290"/>
        <v>95150</v>
      </c>
      <c r="CZ210" s="108" t="s">
        <v>502</v>
      </c>
    </row>
    <row r="211" spans="1:104">
      <c r="A211" s="82">
        <v>419</v>
      </c>
      <c r="B211" s="4" t="s">
        <v>93</v>
      </c>
      <c r="C211" s="4" t="s">
        <v>837</v>
      </c>
      <c r="D211" s="1">
        <v>372.5</v>
      </c>
      <c r="E211" s="1">
        <v>0</v>
      </c>
      <c r="F211" s="1">
        <f t="shared" ref="F211:F271" si="294">D211+E211</f>
        <v>372.5</v>
      </c>
      <c r="G211" s="1">
        <v>372.5</v>
      </c>
      <c r="H211" s="1">
        <v>0</v>
      </c>
      <c r="I211" s="1">
        <f t="shared" si="257"/>
        <v>372.5</v>
      </c>
      <c r="J211" s="1">
        <f t="shared" si="258"/>
        <v>374.5</v>
      </c>
      <c r="K211" s="1">
        <f>IF(ISNA(VLOOKUP($CZ211,'Audit Values'!$A$2:$AE$439,2,FALSE)),'Preliminary SO66'!B208,VLOOKUP($CZ211,'Audit Values'!$A$2:$AE$439,31,FALSE))</f>
        <v>374.5</v>
      </c>
      <c r="L211" s="1">
        <f t="shared" si="259"/>
        <v>374.5</v>
      </c>
      <c r="M211" s="1">
        <f>IF(ISNA(VLOOKUP($CZ211,'Audit Values'!$A$2:$AE$439,2,FALSE)),'Preliminary SO66'!Z208,VLOOKUP($CZ211,'Audit Values'!$A$2:$AE$439,26,FALSE))</f>
        <v>0</v>
      </c>
      <c r="N211" s="1">
        <f t="shared" si="260"/>
        <v>374.5</v>
      </c>
      <c r="O211" s="1">
        <f>IF(ISNA(VLOOKUP($CZ211,'Audit Values'!$A$2:$AE$439,2,FALSE)),'Preliminary SO66'!C208,IF(VLOOKUP($CZ211,'Audit Values'!$A$2:$AE$439,28,FALSE)="",VLOOKUP($CZ211,'Audit Values'!$A$2:$AE$439,3,FALSE),VLOOKUP($CZ211,'Audit Values'!$A$2:$AE$439,28,FALSE)))</f>
        <v>5</v>
      </c>
      <c r="P211" s="109">
        <f t="shared" si="261"/>
        <v>379.5</v>
      </c>
      <c r="Q211" s="110">
        <f t="shared" si="262"/>
        <v>379.5</v>
      </c>
      <c r="R211" s="111">
        <f t="shared" si="263"/>
        <v>379.5</v>
      </c>
      <c r="S211" s="1">
        <f t="shared" si="264"/>
        <v>379.5</v>
      </c>
      <c r="T211" s="1">
        <f t="shared" si="293"/>
        <v>0</v>
      </c>
      <c r="U211" s="1">
        <f t="shared" si="265"/>
        <v>173.5</v>
      </c>
      <c r="V211" s="1">
        <f t="shared" si="251"/>
        <v>173.5</v>
      </c>
      <c r="W211" s="1">
        <f t="shared" si="252"/>
        <v>0</v>
      </c>
      <c r="X211" s="1">
        <f>IF(ISNA(VLOOKUP($CZ211,'Audit Values'!$A$2:$AE$439,2,FALSE)),'Preliminary SO66'!D208,VLOOKUP($CZ211,'Audit Values'!$A$2:$AE$439,4,FALSE))</f>
        <v>90.1</v>
      </c>
      <c r="Y211" s="1">
        <f>ROUND((X211/6)*Weightings!$M$6,1)</f>
        <v>7.5</v>
      </c>
      <c r="Z211" s="1">
        <f>IF(ISNA(VLOOKUP($CZ211,'Audit Values'!$A$2:$AE$439,2,FALSE)),'Preliminary SO66'!F208,VLOOKUP($CZ211,'Audit Values'!$A$2:$AE$439,6,FALSE))</f>
        <v>0</v>
      </c>
      <c r="AA211" s="1">
        <f>ROUND((Z211/6)*Weightings!$M$7,1)</f>
        <v>0</v>
      </c>
      <c r="AB211" s="2">
        <f>IF(ISNA(VLOOKUP($CZ211,'Audit Values'!$A$2:$AE$439,2,FALSE)),'Preliminary SO66'!H208,VLOOKUP($CZ211,'Audit Values'!$A$2:$AE$439,8,FALSE))</f>
        <v>126</v>
      </c>
      <c r="AC211" s="1">
        <f>ROUND(AB211*Weightings!$M$8,1)</f>
        <v>57.5</v>
      </c>
      <c r="AD211" s="1">
        <f t="shared" si="249"/>
        <v>0</v>
      </c>
      <c r="AE211" s="185">
        <v>40</v>
      </c>
      <c r="AF211" s="1">
        <f>AE211*Weightings!$M$9</f>
        <v>1.9</v>
      </c>
      <c r="AG211" s="1">
        <f>IF(ISNA(VLOOKUP($CZ211,'Audit Values'!$A$2:$AE$439,2,FALSE)),'Preliminary SO66'!L208,VLOOKUP($CZ211,'Audit Values'!$A$2:$AE$439,12,FALSE))</f>
        <v>0</v>
      </c>
      <c r="AH211" s="1">
        <f>ROUND(AG211*Weightings!$M$10,1)</f>
        <v>0</v>
      </c>
      <c r="AI211" s="1">
        <f>IF(ISNA(VLOOKUP($CZ211,'Audit Values'!$A$2:$AE$439,2,FALSE)),'Preliminary SO66'!O208,VLOOKUP($CZ211,'Audit Values'!$A$2:$AE$439,15,FALSE))</f>
        <v>203</v>
      </c>
      <c r="AJ211" s="1">
        <f t="shared" si="266"/>
        <v>50.8</v>
      </c>
      <c r="AK211" s="1">
        <f>CC211/Weightings!$M$5</f>
        <v>0</v>
      </c>
      <c r="AL211" s="1">
        <f>CD211/Weightings!$M$5</f>
        <v>0</v>
      </c>
      <c r="AM211" s="1">
        <f>CH211/Weightings!$M$5</f>
        <v>0</v>
      </c>
      <c r="AN211" s="1">
        <f t="shared" si="253"/>
        <v>0</v>
      </c>
      <c r="AO211" s="1">
        <f>IF(ISNA(VLOOKUP($CZ211,'Audit Values'!$A$2:$AE$439,2,FALSE)),'Preliminary SO66'!X208,VLOOKUP($CZ211,'Audit Values'!$A$2:$AE$439,24,FALSE))</f>
        <v>0</v>
      </c>
      <c r="AP211" s="188">
        <v>443240.00000000006</v>
      </c>
      <c r="AQ211" s="113">
        <f>AP211/Weightings!$M$5</f>
        <v>115.5</v>
      </c>
      <c r="AR211" s="113">
        <f t="shared" si="267"/>
        <v>670.7</v>
      </c>
      <c r="AS211" s="1">
        <f t="shared" si="268"/>
        <v>786.2</v>
      </c>
      <c r="AT211" s="1">
        <f t="shared" si="269"/>
        <v>786.2</v>
      </c>
      <c r="AU211" s="2">
        <f t="shared" si="283"/>
        <v>0</v>
      </c>
      <c r="AV211" s="82">
        <f>IF(ISNA(VLOOKUP($CZ211,'Audit Values'!$A$2:$AC$360,2,FALSE)),"",IF(AND(Weightings!H211&gt;0,VLOOKUP($CZ211,'Audit Values'!$A$2:$AC$360,29,FALSE)&lt;Weightings!H211),Weightings!H211,VLOOKUP($CZ211,'Audit Values'!$A$2:$AC$360,29,FALSE)))</f>
        <v>24</v>
      </c>
      <c r="AW211" s="82" t="str">
        <f>IF(ISNA(VLOOKUP($CZ211,'Audit Values'!$A$2:$AD$360,2,FALSE)),"",VLOOKUP($CZ211,'Audit Values'!$A$2:$AD$360,30,FALSE))</f>
        <v>A</v>
      </c>
      <c r="AX211" s="82" t="str">
        <f>IF(Weightings!G211="","",IF(Weightings!I211="Pending","PX","R"))</f>
        <v/>
      </c>
      <c r="AY211" s="114">
        <f>AR211*Weightings!$M$5+AU211</f>
        <v>2574147</v>
      </c>
      <c r="AZ211" s="2">
        <f>AT211*Weightings!$M$5+AU211</f>
        <v>3017436</v>
      </c>
      <c r="BA211" s="2">
        <f>IF(Weightings!G211&gt;0,Weightings!G211,'Preliminary SO66'!AB208)</f>
        <v>3183237</v>
      </c>
      <c r="BB211" s="2">
        <f t="shared" si="270"/>
        <v>3017436</v>
      </c>
      <c r="BC211" s="124"/>
      <c r="BD211" s="124">
        <f>Weightings!E211</f>
        <v>0</v>
      </c>
      <c r="BE211" s="124">
        <f>Weightings!F211</f>
        <v>0</v>
      </c>
      <c r="BF211" s="2">
        <f t="shared" si="271"/>
        <v>0</v>
      </c>
      <c r="BG211" s="2">
        <f t="shared" si="272"/>
        <v>3017436</v>
      </c>
      <c r="BH211" s="2">
        <f>MAX(ROUND(((AR211-AO211)*4433)+AP211,0),ROUND(((AR211-AO211)*4433)+Weightings!B211,0))</f>
        <v>3416453</v>
      </c>
      <c r="BI211" s="174">
        <v>0.3</v>
      </c>
      <c r="BJ211" s="2">
        <f t="shared" si="245"/>
        <v>1024936</v>
      </c>
      <c r="BK211" s="173">
        <v>1079160</v>
      </c>
      <c r="BL211" s="2">
        <f t="shared" si="246"/>
        <v>1024936</v>
      </c>
      <c r="BM211" s="3">
        <f t="shared" si="284"/>
        <v>0.3</v>
      </c>
      <c r="BN211" s="1">
        <f t="shared" si="273"/>
        <v>0</v>
      </c>
      <c r="BO211" s="4" t="b">
        <f t="shared" si="274"/>
        <v>0</v>
      </c>
      <c r="BP211" s="5">
        <f t="shared" si="275"/>
        <v>0</v>
      </c>
      <c r="BQ211" s="6">
        <f t="shared" si="247"/>
        <v>0</v>
      </c>
      <c r="BR211" s="4">
        <f t="shared" si="276"/>
        <v>0</v>
      </c>
      <c r="BS211" s="4" t="b">
        <f t="shared" si="277"/>
        <v>1</v>
      </c>
      <c r="BT211" s="4">
        <f t="shared" si="278"/>
        <v>98.381299999999996</v>
      </c>
      <c r="BU211" s="6">
        <f t="shared" si="248"/>
        <v>0.45717600000000003</v>
      </c>
      <c r="BV211" s="1">
        <f t="shared" si="279"/>
        <v>173.5</v>
      </c>
      <c r="BW211" s="1">
        <f t="shared" si="280"/>
        <v>0</v>
      </c>
      <c r="BX211" s="116">
        <v>167.5</v>
      </c>
      <c r="BY211" s="7">
        <f t="shared" si="285"/>
        <v>1.21</v>
      </c>
      <c r="BZ211" s="7">
        <f>IF(ROUND((Weightings!$P$5*BY211^Weightings!$P$6*Weightings!$P$8 ),2)&lt;Weightings!$P$7,Weightings!$P$7,ROUND((Weightings!$P$5*BY211^Weightings!$P$6*Weightings!$P$8 ),2))</f>
        <v>959.6</v>
      </c>
      <c r="CA211" s="8">
        <f>ROUND(BZ211/Weightings!$M$5,4)</f>
        <v>0.25</v>
      </c>
      <c r="CB211" s="1">
        <f t="shared" si="286"/>
        <v>50.8</v>
      </c>
      <c r="CC211" s="173">
        <v>0</v>
      </c>
      <c r="CD211" s="173">
        <v>0</v>
      </c>
      <c r="CE211" s="173">
        <v>0</v>
      </c>
      <c r="CF211" s="177">
        <v>0</v>
      </c>
      <c r="CG211" s="2">
        <f>AS211*Weightings!$M$5*CF211</f>
        <v>0</v>
      </c>
      <c r="CH211" s="2">
        <f t="shared" si="250"/>
        <v>0</v>
      </c>
      <c r="CI211" s="117">
        <f t="shared" si="281"/>
        <v>0.33200000000000002</v>
      </c>
      <c r="CJ211" s="4">
        <f t="shared" si="282"/>
        <v>2.2999999999999998</v>
      </c>
      <c r="CK211" s="1">
        <f t="shared" si="287"/>
        <v>0</v>
      </c>
      <c r="CL211" s="1">
        <f t="shared" si="288"/>
        <v>0</v>
      </c>
      <c r="CM211" s="1">
        <f t="shared" si="289"/>
        <v>0</v>
      </c>
      <c r="CN211" s="1">
        <f>IF(ISNA(VLOOKUP($CZ211,'Audit Values'!$A$2:$AE$439,2,FALSE)),'Preliminary SO66'!T208,VLOOKUP($CZ211,'Audit Values'!$A$2:$AE$439,20,FALSE))</f>
        <v>0</v>
      </c>
      <c r="CO211" s="1">
        <f t="shared" si="254"/>
        <v>0</v>
      </c>
      <c r="CP211" s="183">
        <v>0</v>
      </c>
      <c r="CQ211" s="1">
        <f t="shared" si="255"/>
        <v>0</v>
      </c>
      <c r="CR211" s="2">
        <f>IF(ISNA(VLOOKUP($CZ211,'Audit Values'!$A$2:$AE$439,2,FALSE)),'Preliminary SO66'!V208,VLOOKUP($CZ211,'Audit Values'!$A$2:$AE$439,22,FALSE))</f>
        <v>0</v>
      </c>
      <c r="CS211" s="1">
        <f t="shared" si="256"/>
        <v>0</v>
      </c>
      <c r="CT211" s="2">
        <f>IF(ISNA(VLOOKUP($CZ211,'Audit Values'!$A$2:$AE$439,2,FALSE)),'Preliminary SO66'!W208,VLOOKUP($CZ211,'Audit Values'!$A$2:$AE$439,23,FALSE))</f>
        <v>0</v>
      </c>
      <c r="CU211" s="1">
        <f t="shared" si="291"/>
        <v>0</v>
      </c>
      <c r="CV211" s="1">
        <f t="shared" si="292"/>
        <v>0</v>
      </c>
      <c r="CW211" s="176">
        <v>0</v>
      </c>
      <c r="CX211" s="2">
        <f>IF(CW211&gt;0,Weightings!$M$11*AR211,0)</f>
        <v>0</v>
      </c>
      <c r="CY211" s="2">
        <f t="shared" si="290"/>
        <v>0</v>
      </c>
      <c r="CZ211" s="108" t="s">
        <v>503</v>
      </c>
    </row>
    <row r="212" spans="1:104">
      <c r="A212" s="82">
        <v>420</v>
      </c>
      <c r="B212" s="4" t="s">
        <v>98</v>
      </c>
      <c r="C212" s="4" t="s">
        <v>838</v>
      </c>
      <c r="D212" s="1">
        <v>647.6</v>
      </c>
      <c r="E212" s="1">
        <v>0</v>
      </c>
      <c r="F212" s="1">
        <f t="shared" si="294"/>
        <v>647.6</v>
      </c>
      <c r="G212" s="1">
        <v>607.29999999999995</v>
      </c>
      <c r="H212" s="1">
        <v>0</v>
      </c>
      <c r="I212" s="1">
        <f t="shared" si="257"/>
        <v>607.29999999999995</v>
      </c>
      <c r="J212" s="1">
        <f t="shared" si="258"/>
        <v>619.70000000000005</v>
      </c>
      <c r="K212" s="1">
        <f>IF(ISNA(VLOOKUP($CZ212,'Audit Values'!$A$2:$AE$439,2,FALSE)),'Preliminary SO66'!B209,VLOOKUP($CZ212,'Audit Values'!$A$2:$AE$439,31,FALSE))</f>
        <v>619.70000000000005</v>
      </c>
      <c r="L212" s="1">
        <f t="shared" si="259"/>
        <v>624.9</v>
      </c>
      <c r="M212" s="1">
        <f>IF(ISNA(VLOOKUP($CZ212,'Audit Values'!$A$2:$AE$439,2,FALSE)),'Preliminary SO66'!Z209,VLOOKUP($CZ212,'Audit Values'!$A$2:$AE$439,26,FALSE))</f>
        <v>0</v>
      </c>
      <c r="N212" s="1">
        <f t="shared" si="260"/>
        <v>624.9</v>
      </c>
      <c r="O212" s="1">
        <f>IF(ISNA(VLOOKUP($CZ212,'Audit Values'!$A$2:$AE$439,2,FALSE)),'Preliminary SO66'!C209,IF(VLOOKUP($CZ212,'Audit Values'!$A$2:$AE$439,28,FALSE)="",VLOOKUP($CZ212,'Audit Values'!$A$2:$AE$439,3,FALSE),VLOOKUP($CZ212,'Audit Values'!$A$2:$AE$439,28,FALSE)))</f>
        <v>0</v>
      </c>
      <c r="P212" s="109">
        <f t="shared" si="261"/>
        <v>619.70000000000005</v>
      </c>
      <c r="Q212" s="110">
        <f t="shared" si="262"/>
        <v>619.70000000000005</v>
      </c>
      <c r="R212" s="111">
        <f t="shared" si="263"/>
        <v>619.70000000000005</v>
      </c>
      <c r="S212" s="1">
        <f t="shared" si="264"/>
        <v>624.9</v>
      </c>
      <c r="T212" s="1">
        <f t="shared" si="293"/>
        <v>0</v>
      </c>
      <c r="U212" s="1">
        <f t="shared" si="265"/>
        <v>233.6</v>
      </c>
      <c r="V212" s="1">
        <f t="shared" si="251"/>
        <v>233.6</v>
      </c>
      <c r="W212" s="1">
        <f t="shared" si="252"/>
        <v>0</v>
      </c>
      <c r="X212" s="1">
        <f>IF(ISNA(VLOOKUP($CZ212,'Audit Values'!$A$2:$AE$439,2,FALSE)),'Preliminary SO66'!D209,VLOOKUP($CZ212,'Audit Values'!$A$2:$AE$439,4,FALSE))</f>
        <v>117.8</v>
      </c>
      <c r="Y212" s="1">
        <f>ROUND((X212/6)*Weightings!$M$6,1)</f>
        <v>9.8000000000000007</v>
      </c>
      <c r="Z212" s="1">
        <f>IF(ISNA(VLOOKUP($CZ212,'Audit Values'!$A$2:$AE$439,2,FALSE)),'Preliminary SO66'!F209,VLOOKUP($CZ212,'Audit Values'!$A$2:$AE$439,6,FALSE))</f>
        <v>0</v>
      </c>
      <c r="AA212" s="1">
        <f>ROUND((Z212/6)*Weightings!$M$7,1)</f>
        <v>0</v>
      </c>
      <c r="AB212" s="2">
        <f>IF(ISNA(VLOOKUP($CZ212,'Audit Values'!$A$2:$AE$439,2,FALSE)),'Preliminary SO66'!H209,VLOOKUP($CZ212,'Audit Values'!$A$2:$AE$439,8,FALSE))</f>
        <v>249</v>
      </c>
      <c r="AC212" s="1">
        <f>ROUND(AB212*Weightings!$M$8,1)</f>
        <v>113.5</v>
      </c>
      <c r="AD212" s="1">
        <f t="shared" si="249"/>
        <v>8.4</v>
      </c>
      <c r="AE212" s="185">
        <v>45</v>
      </c>
      <c r="AF212" s="1">
        <f>AE212*Weightings!$M$9</f>
        <v>2.1</v>
      </c>
      <c r="AG212" s="1">
        <f>IF(ISNA(VLOOKUP($CZ212,'Audit Values'!$A$2:$AE$439,2,FALSE)),'Preliminary SO66'!L209,VLOOKUP($CZ212,'Audit Values'!$A$2:$AE$439,12,FALSE))</f>
        <v>0</v>
      </c>
      <c r="AH212" s="1">
        <f>ROUND(AG212*Weightings!$M$10,1)</f>
        <v>0</v>
      </c>
      <c r="AI212" s="1">
        <f>IF(ISNA(VLOOKUP($CZ212,'Audit Values'!$A$2:$AE$439,2,FALSE)),'Preliminary SO66'!O209,VLOOKUP($CZ212,'Audit Values'!$A$2:$AE$439,15,FALSE))</f>
        <v>72</v>
      </c>
      <c r="AJ212" s="1">
        <f t="shared" si="266"/>
        <v>21.4</v>
      </c>
      <c r="AK212" s="1">
        <f>CC212/Weightings!$M$5</f>
        <v>0</v>
      </c>
      <c r="AL212" s="1">
        <f>CD212/Weightings!$M$5</f>
        <v>0</v>
      </c>
      <c r="AM212" s="1">
        <f>CH212/Weightings!$M$5</f>
        <v>0</v>
      </c>
      <c r="AN212" s="1">
        <f t="shared" si="253"/>
        <v>0</v>
      </c>
      <c r="AO212" s="1">
        <f>IF(ISNA(VLOOKUP($CZ212,'Audit Values'!$A$2:$AE$439,2,FALSE)),'Preliminary SO66'!X209,VLOOKUP($CZ212,'Audit Values'!$A$2:$AE$439,24,FALSE))</f>
        <v>0</v>
      </c>
      <c r="AP212" s="188">
        <v>661545</v>
      </c>
      <c r="AQ212" s="113">
        <f>AP212/Weightings!$M$5</f>
        <v>172.4</v>
      </c>
      <c r="AR212" s="113">
        <f t="shared" si="267"/>
        <v>1013.7</v>
      </c>
      <c r="AS212" s="1">
        <f t="shared" si="268"/>
        <v>1186.0999999999999</v>
      </c>
      <c r="AT212" s="1">
        <f t="shared" si="269"/>
        <v>1186.0999999999999</v>
      </c>
      <c r="AU212" s="2">
        <f t="shared" si="283"/>
        <v>0</v>
      </c>
      <c r="AV212" s="82">
        <f>IF(ISNA(VLOOKUP($CZ212,'Audit Values'!$A$2:$AC$360,2,FALSE)),"",IF(AND(Weightings!H212&gt;0,VLOOKUP($CZ212,'Audit Values'!$A$2:$AC$360,29,FALSE)&lt;Weightings!H212),Weightings!H212,VLOOKUP($CZ212,'Audit Values'!$A$2:$AC$360,29,FALSE)))</f>
        <v>15</v>
      </c>
      <c r="AW212" s="82" t="str">
        <f>IF(ISNA(VLOOKUP($CZ212,'Audit Values'!$A$2:$AD$360,2,FALSE)),"",VLOOKUP($CZ212,'Audit Values'!$A$2:$AD$360,30,FALSE))</f>
        <v>A</v>
      </c>
      <c r="AX212" s="82" t="str">
        <f>IF(Weightings!G212="","",IF(Weightings!I212="Pending","PX","R"))</f>
        <v/>
      </c>
      <c r="AY212" s="114">
        <f>AR212*Weightings!$M$5+AU212</f>
        <v>3890581</v>
      </c>
      <c r="AZ212" s="2">
        <f>AT212*Weightings!$M$5+AU212</f>
        <v>4552252</v>
      </c>
      <c r="BA212" s="2">
        <f>IF(Weightings!G212&gt;0,Weightings!G212,'Preliminary SO66'!AB209)</f>
        <v>4773321</v>
      </c>
      <c r="BB212" s="2">
        <f t="shared" si="270"/>
        <v>4552252</v>
      </c>
      <c r="BC212" s="124"/>
      <c r="BD212" s="124">
        <f>Weightings!E212</f>
        <v>-3377</v>
      </c>
      <c r="BE212" s="124">
        <f>Weightings!F212</f>
        <v>0</v>
      </c>
      <c r="BF212" s="2">
        <f t="shared" si="271"/>
        <v>-3377</v>
      </c>
      <c r="BG212" s="2">
        <f t="shared" si="272"/>
        <v>4548875</v>
      </c>
      <c r="BH212" s="2">
        <f>MAX(ROUND(((AR212-AO212)*4433)+AP212,0),ROUND(((AR212-AO212)*4433)+Weightings!B212,0))</f>
        <v>5315848</v>
      </c>
      <c r="BI212" s="174">
        <v>0.3</v>
      </c>
      <c r="BJ212" s="2">
        <f t="shared" si="245"/>
        <v>1594754</v>
      </c>
      <c r="BK212" s="173">
        <v>1393531</v>
      </c>
      <c r="BL212" s="2">
        <f t="shared" si="246"/>
        <v>1393531</v>
      </c>
      <c r="BM212" s="3">
        <f t="shared" si="284"/>
        <v>0.2621</v>
      </c>
      <c r="BN212" s="1">
        <f t="shared" si="273"/>
        <v>0</v>
      </c>
      <c r="BO212" s="4" t="b">
        <f t="shared" si="274"/>
        <v>0</v>
      </c>
      <c r="BP212" s="5">
        <f t="shared" si="275"/>
        <v>0</v>
      </c>
      <c r="BQ212" s="6">
        <f t="shared" si="247"/>
        <v>0</v>
      </c>
      <c r="BR212" s="4">
        <f t="shared" si="276"/>
        <v>0</v>
      </c>
      <c r="BS212" s="4" t="b">
        <f t="shared" si="277"/>
        <v>1</v>
      </c>
      <c r="BT212" s="4">
        <f t="shared" si="278"/>
        <v>402.06380000000001</v>
      </c>
      <c r="BU212" s="6">
        <f t="shared" si="248"/>
        <v>0.37380200000000002</v>
      </c>
      <c r="BV212" s="1">
        <f t="shared" si="279"/>
        <v>233.6</v>
      </c>
      <c r="BW212" s="1">
        <f t="shared" si="280"/>
        <v>0</v>
      </c>
      <c r="BX212" s="116">
        <v>127.3</v>
      </c>
      <c r="BY212" s="7">
        <f t="shared" si="285"/>
        <v>0.56999999999999995</v>
      </c>
      <c r="BZ212" s="7">
        <f>IF(ROUND((Weightings!$P$5*BY212^Weightings!$P$6*Weightings!$P$8 ),2)&lt;Weightings!$P$7,Weightings!$P$7,ROUND((Weightings!$P$5*BY212^Weightings!$P$6*Weightings!$P$8 ),2))</f>
        <v>1139.3599999999999</v>
      </c>
      <c r="CA212" s="8">
        <f>ROUND(BZ212/Weightings!$M$5,4)</f>
        <v>0.2969</v>
      </c>
      <c r="CB212" s="1">
        <f t="shared" si="286"/>
        <v>21.4</v>
      </c>
      <c r="CC212" s="173">
        <v>0</v>
      </c>
      <c r="CD212" s="173">
        <v>0</v>
      </c>
      <c r="CE212" s="173">
        <v>0</v>
      </c>
      <c r="CF212" s="177">
        <v>0</v>
      </c>
      <c r="CG212" s="2">
        <f>AS212*Weightings!$M$5*CF212</f>
        <v>0</v>
      </c>
      <c r="CH212" s="2">
        <f t="shared" si="250"/>
        <v>0</v>
      </c>
      <c r="CI212" s="117">
        <f t="shared" si="281"/>
        <v>0.39800000000000002</v>
      </c>
      <c r="CJ212" s="4">
        <f t="shared" si="282"/>
        <v>4.9000000000000004</v>
      </c>
      <c r="CK212" s="1">
        <f t="shared" si="287"/>
        <v>0</v>
      </c>
      <c r="CL212" s="1">
        <f t="shared" si="288"/>
        <v>0</v>
      </c>
      <c r="CM212" s="1">
        <f t="shared" si="289"/>
        <v>8.4</v>
      </c>
      <c r="CN212" s="1">
        <f>IF(ISNA(VLOOKUP($CZ212,'Audit Values'!$A$2:$AE$439,2,FALSE)),'Preliminary SO66'!T209,VLOOKUP($CZ212,'Audit Values'!$A$2:$AE$439,20,FALSE))</f>
        <v>0</v>
      </c>
      <c r="CO212" s="1">
        <f t="shared" si="254"/>
        <v>0</v>
      </c>
      <c r="CP212" s="183">
        <v>0</v>
      </c>
      <c r="CQ212" s="1">
        <f t="shared" si="255"/>
        <v>0</v>
      </c>
      <c r="CR212" s="2">
        <f>IF(ISNA(VLOOKUP($CZ212,'Audit Values'!$A$2:$AE$439,2,FALSE)),'Preliminary SO66'!V209,VLOOKUP($CZ212,'Audit Values'!$A$2:$AE$439,22,FALSE))</f>
        <v>0</v>
      </c>
      <c r="CS212" s="1">
        <f t="shared" si="256"/>
        <v>0</v>
      </c>
      <c r="CT212" s="2">
        <f>IF(ISNA(VLOOKUP($CZ212,'Audit Values'!$A$2:$AE$439,2,FALSE)),'Preliminary SO66'!W209,VLOOKUP($CZ212,'Audit Values'!$A$2:$AE$439,23,FALSE))</f>
        <v>0</v>
      </c>
      <c r="CU212" s="1">
        <f t="shared" si="291"/>
        <v>0</v>
      </c>
      <c r="CV212" s="1">
        <f t="shared" si="292"/>
        <v>0</v>
      </c>
      <c r="CW212" s="176">
        <v>0</v>
      </c>
      <c r="CX212" s="2">
        <f>IF(CW212&gt;0,Weightings!$M$11*AR212,0)</f>
        <v>0</v>
      </c>
      <c r="CY212" s="2">
        <f t="shared" si="290"/>
        <v>0</v>
      </c>
      <c r="CZ212" s="108" t="s">
        <v>504</v>
      </c>
    </row>
    <row r="213" spans="1:104">
      <c r="A213" s="82">
        <v>421</v>
      </c>
      <c r="B213" s="4" t="s">
        <v>98</v>
      </c>
      <c r="C213" s="4" t="s">
        <v>839</v>
      </c>
      <c r="D213" s="1">
        <v>427.5</v>
      </c>
      <c r="E213" s="1">
        <v>0</v>
      </c>
      <c r="F213" s="1">
        <f t="shared" si="294"/>
        <v>427.5</v>
      </c>
      <c r="G213" s="1">
        <v>421</v>
      </c>
      <c r="H213" s="1">
        <v>0</v>
      </c>
      <c r="I213" s="1">
        <f t="shared" si="257"/>
        <v>421</v>
      </c>
      <c r="J213" s="1">
        <f t="shared" si="258"/>
        <v>428.5</v>
      </c>
      <c r="K213" s="1">
        <f>IF(ISNA(VLOOKUP($CZ213,'Audit Values'!$A$2:$AE$439,2,FALSE)),'Preliminary SO66'!B210,VLOOKUP($CZ213,'Audit Values'!$A$2:$AE$439,31,FALSE))</f>
        <v>428.5</v>
      </c>
      <c r="L213" s="1">
        <f t="shared" si="259"/>
        <v>428.5</v>
      </c>
      <c r="M213" s="1">
        <f>IF(ISNA(VLOOKUP($CZ213,'Audit Values'!$A$2:$AE$439,2,FALSE)),'Preliminary SO66'!Z210,VLOOKUP($CZ213,'Audit Values'!$A$2:$AE$439,26,FALSE))</f>
        <v>0</v>
      </c>
      <c r="N213" s="1">
        <f t="shared" si="260"/>
        <v>428.5</v>
      </c>
      <c r="O213" s="1">
        <f>IF(ISNA(VLOOKUP($CZ213,'Audit Values'!$A$2:$AE$439,2,FALSE)),'Preliminary SO66'!C210,IF(VLOOKUP($CZ213,'Audit Values'!$A$2:$AE$439,28,FALSE)="",VLOOKUP($CZ213,'Audit Values'!$A$2:$AE$439,3,FALSE),VLOOKUP($CZ213,'Audit Values'!$A$2:$AE$439,28,FALSE)))</f>
        <v>0</v>
      </c>
      <c r="P213" s="109">
        <f t="shared" si="261"/>
        <v>428.5</v>
      </c>
      <c r="Q213" s="110">
        <f t="shared" si="262"/>
        <v>428.5</v>
      </c>
      <c r="R213" s="111">
        <f t="shared" si="263"/>
        <v>428.5</v>
      </c>
      <c r="S213" s="1">
        <f t="shared" si="264"/>
        <v>428.5</v>
      </c>
      <c r="T213" s="1">
        <f t="shared" si="293"/>
        <v>0</v>
      </c>
      <c r="U213" s="1">
        <f t="shared" si="265"/>
        <v>188.8</v>
      </c>
      <c r="V213" s="1">
        <f t="shared" si="251"/>
        <v>188.8</v>
      </c>
      <c r="W213" s="1">
        <f t="shared" si="252"/>
        <v>0</v>
      </c>
      <c r="X213" s="1">
        <f>IF(ISNA(VLOOKUP($CZ213,'Audit Values'!$A$2:$AE$439,2,FALSE)),'Preliminary SO66'!D210,VLOOKUP($CZ213,'Audit Values'!$A$2:$AE$439,4,FALSE))</f>
        <v>84.4</v>
      </c>
      <c r="Y213" s="1">
        <f>ROUND((X213/6)*Weightings!$M$6,1)</f>
        <v>7</v>
      </c>
      <c r="Z213" s="1">
        <f>IF(ISNA(VLOOKUP($CZ213,'Audit Values'!$A$2:$AE$439,2,FALSE)),'Preliminary SO66'!F210,VLOOKUP($CZ213,'Audit Values'!$A$2:$AE$439,6,FALSE))</f>
        <v>0</v>
      </c>
      <c r="AA213" s="1">
        <f>ROUND((Z213/6)*Weightings!$M$7,1)</f>
        <v>0</v>
      </c>
      <c r="AB213" s="2">
        <f>IF(ISNA(VLOOKUP($CZ213,'Audit Values'!$A$2:$AE$439,2,FALSE)),'Preliminary SO66'!H210,VLOOKUP($CZ213,'Audit Values'!$A$2:$AE$439,8,FALSE))</f>
        <v>108</v>
      </c>
      <c r="AC213" s="1">
        <f>ROUND(AB213*Weightings!$M$8,1)</f>
        <v>49.2</v>
      </c>
      <c r="AD213" s="1">
        <f t="shared" si="249"/>
        <v>0</v>
      </c>
      <c r="AE213" s="185">
        <v>42</v>
      </c>
      <c r="AF213" s="1">
        <f>AE213*Weightings!$M$9</f>
        <v>2</v>
      </c>
      <c r="AG213" s="1">
        <f>IF(ISNA(VLOOKUP($CZ213,'Audit Values'!$A$2:$AE$439,2,FALSE)),'Preliminary SO66'!L210,VLOOKUP($CZ213,'Audit Values'!$A$2:$AE$439,12,FALSE))</f>
        <v>0</v>
      </c>
      <c r="AH213" s="1">
        <f>ROUND(AG213*Weightings!$M$10,1)</f>
        <v>0</v>
      </c>
      <c r="AI213" s="1">
        <f>IF(ISNA(VLOOKUP($CZ213,'Audit Values'!$A$2:$AE$439,2,FALSE)),'Preliminary SO66'!O210,VLOOKUP($CZ213,'Audit Values'!$A$2:$AE$439,15,FALSE))</f>
        <v>178</v>
      </c>
      <c r="AJ213" s="1">
        <f t="shared" si="266"/>
        <v>41.6</v>
      </c>
      <c r="AK213" s="1">
        <f>CC213/Weightings!$M$5</f>
        <v>0</v>
      </c>
      <c r="AL213" s="1">
        <f>CD213/Weightings!$M$5</f>
        <v>0</v>
      </c>
      <c r="AM213" s="1">
        <f>CH213/Weightings!$M$5</f>
        <v>0</v>
      </c>
      <c r="AN213" s="1">
        <f t="shared" si="253"/>
        <v>0</v>
      </c>
      <c r="AO213" s="1">
        <f>IF(ISNA(VLOOKUP($CZ213,'Audit Values'!$A$2:$AE$439,2,FALSE)),'Preliminary SO66'!X210,VLOOKUP($CZ213,'Audit Values'!$A$2:$AE$439,24,FALSE))</f>
        <v>1</v>
      </c>
      <c r="AP213" s="188">
        <v>451360</v>
      </c>
      <c r="AQ213" s="113">
        <f>AP213/Weightings!$M$5</f>
        <v>117.6</v>
      </c>
      <c r="AR213" s="113">
        <f t="shared" si="267"/>
        <v>718.1</v>
      </c>
      <c r="AS213" s="1">
        <f t="shared" si="268"/>
        <v>835.7</v>
      </c>
      <c r="AT213" s="1">
        <f t="shared" si="269"/>
        <v>835.7</v>
      </c>
      <c r="AU213" s="2">
        <f t="shared" si="283"/>
        <v>0</v>
      </c>
      <c r="AV213" s="82">
        <f>IF(ISNA(VLOOKUP($CZ213,'Audit Values'!$A$2:$AC$360,2,FALSE)),"",IF(AND(Weightings!H213&gt;0,VLOOKUP($CZ213,'Audit Values'!$A$2:$AC$360,29,FALSE)&lt;Weightings!H213),Weightings!H213,VLOOKUP($CZ213,'Audit Values'!$A$2:$AC$360,29,FALSE)))</f>
        <v>18</v>
      </c>
      <c r="AW213" s="82" t="str">
        <f>IF(ISNA(VLOOKUP($CZ213,'Audit Values'!$A$2:$AD$360,2,FALSE)),"",VLOOKUP($CZ213,'Audit Values'!$A$2:$AD$360,30,FALSE))</f>
        <v>A</v>
      </c>
      <c r="AX213" s="82" t="str">
        <f>IF(Weightings!G213="","",IF(Weightings!I213="Pending","PX","R"))</f>
        <v>R</v>
      </c>
      <c r="AY213" s="114">
        <f>AR213*Weightings!$M$5+AU213</f>
        <v>2756068</v>
      </c>
      <c r="AZ213" s="2">
        <f>AT213*Weightings!$M$5+AU213</f>
        <v>3207417</v>
      </c>
      <c r="BA213" s="2">
        <f>IF(Weightings!G213&gt;0,Weightings!G213,'Preliminary SO66'!AB210)</f>
        <v>3210103</v>
      </c>
      <c r="BB213" s="2">
        <f t="shared" si="270"/>
        <v>3207417</v>
      </c>
      <c r="BC213" s="124"/>
      <c r="BD213" s="124">
        <f>Weightings!E213</f>
        <v>-9882</v>
      </c>
      <c r="BE213" s="124">
        <f>Weightings!F213</f>
        <v>0</v>
      </c>
      <c r="BF213" s="2">
        <f t="shared" si="271"/>
        <v>-9882</v>
      </c>
      <c r="BG213" s="2">
        <f t="shared" si="272"/>
        <v>3197535</v>
      </c>
      <c r="BH213" s="2">
        <f>MAX(ROUND(((AR213-AO213)*4433)+AP213,0),ROUND(((AR213-AO213)*4433)+Weightings!B213,0))</f>
        <v>3707941</v>
      </c>
      <c r="BI213" s="174">
        <v>0.3</v>
      </c>
      <c r="BJ213" s="2">
        <f t="shared" si="245"/>
        <v>1112382</v>
      </c>
      <c r="BK213" s="173">
        <v>1010000</v>
      </c>
      <c r="BL213" s="2">
        <f t="shared" si="246"/>
        <v>1010000</v>
      </c>
      <c r="BM213" s="3">
        <f t="shared" si="284"/>
        <v>0.27239999999999998</v>
      </c>
      <c r="BN213" s="1">
        <f t="shared" si="273"/>
        <v>0</v>
      </c>
      <c r="BO213" s="4" t="b">
        <f t="shared" si="274"/>
        <v>0</v>
      </c>
      <c r="BP213" s="5">
        <f t="shared" si="275"/>
        <v>0</v>
      </c>
      <c r="BQ213" s="6">
        <f t="shared" si="247"/>
        <v>0</v>
      </c>
      <c r="BR213" s="4">
        <f t="shared" si="276"/>
        <v>0</v>
      </c>
      <c r="BS213" s="4" t="b">
        <f t="shared" si="277"/>
        <v>1</v>
      </c>
      <c r="BT213" s="4">
        <f t="shared" si="278"/>
        <v>159.0188</v>
      </c>
      <c r="BU213" s="6">
        <f t="shared" si="248"/>
        <v>0.440529</v>
      </c>
      <c r="BV213" s="1">
        <f t="shared" si="279"/>
        <v>188.8</v>
      </c>
      <c r="BW213" s="1">
        <f t="shared" si="280"/>
        <v>0</v>
      </c>
      <c r="BX213" s="116">
        <v>109</v>
      </c>
      <c r="BY213" s="7">
        <f t="shared" si="285"/>
        <v>1.63</v>
      </c>
      <c r="BZ213" s="7">
        <f>IF(ROUND((Weightings!$P$5*BY213^Weightings!$P$6*Weightings!$P$8 ),2)&lt;Weightings!$P$7,Weightings!$P$7,ROUND((Weightings!$P$5*BY213^Weightings!$P$6*Weightings!$P$8 ),2))</f>
        <v>896.55</v>
      </c>
      <c r="CA213" s="8">
        <f>ROUND(BZ213/Weightings!$M$5,4)</f>
        <v>0.2336</v>
      </c>
      <c r="CB213" s="1">
        <f t="shared" si="286"/>
        <v>41.6</v>
      </c>
      <c r="CC213" s="173">
        <v>0</v>
      </c>
      <c r="CD213" s="173">
        <v>0</v>
      </c>
      <c r="CE213" s="173">
        <v>0</v>
      </c>
      <c r="CF213" s="177">
        <v>0</v>
      </c>
      <c r="CG213" s="2">
        <f>AS213*Weightings!$M$5*CF213</f>
        <v>0</v>
      </c>
      <c r="CH213" s="2">
        <f t="shared" si="250"/>
        <v>0</v>
      </c>
      <c r="CI213" s="117">
        <f t="shared" si="281"/>
        <v>0.252</v>
      </c>
      <c r="CJ213" s="4">
        <f t="shared" si="282"/>
        <v>3.9</v>
      </c>
      <c r="CK213" s="1">
        <f t="shared" si="287"/>
        <v>0</v>
      </c>
      <c r="CL213" s="1">
        <f t="shared" si="288"/>
        <v>0</v>
      </c>
      <c r="CM213" s="1">
        <f t="shared" si="289"/>
        <v>0</v>
      </c>
      <c r="CN213" s="1">
        <f>IF(ISNA(VLOOKUP($CZ213,'Audit Values'!$A$2:$AE$439,2,FALSE)),'Preliminary SO66'!T210,VLOOKUP($CZ213,'Audit Values'!$A$2:$AE$439,20,FALSE))</f>
        <v>0</v>
      </c>
      <c r="CO213" s="1">
        <f t="shared" si="254"/>
        <v>0</v>
      </c>
      <c r="CP213" s="183">
        <v>0</v>
      </c>
      <c r="CQ213" s="1">
        <f t="shared" si="255"/>
        <v>0</v>
      </c>
      <c r="CR213" s="2">
        <f>IF(ISNA(VLOOKUP($CZ213,'Audit Values'!$A$2:$AE$439,2,FALSE)),'Preliminary SO66'!V210,VLOOKUP($CZ213,'Audit Values'!$A$2:$AE$439,22,FALSE))</f>
        <v>0</v>
      </c>
      <c r="CS213" s="1">
        <f t="shared" si="256"/>
        <v>0</v>
      </c>
      <c r="CT213" s="2">
        <f>IF(ISNA(VLOOKUP($CZ213,'Audit Values'!$A$2:$AE$439,2,FALSE)),'Preliminary SO66'!W210,VLOOKUP($CZ213,'Audit Values'!$A$2:$AE$439,23,FALSE))</f>
        <v>0</v>
      </c>
      <c r="CU213" s="1">
        <f t="shared" si="291"/>
        <v>0</v>
      </c>
      <c r="CV213" s="1">
        <f t="shared" si="292"/>
        <v>0</v>
      </c>
      <c r="CW213" s="176">
        <v>0</v>
      </c>
      <c r="CX213" s="2">
        <f>IF(CW213&gt;0,Weightings!$M$11*AR213,0)</f>
        <v>0</v>
      </c>
      <c r="CY213" s="2">
        <f t="shared" si="290"/>
        <v>0</v>
      </c>
      <c r="CZ213" s="108" t="s">
        <v>505</v>
      </c>
    </row>
    <row r="214" spans="1:104">
      <c r="A214" s="82">
        <v>422</v>
      </c>
      <c r="B214" s="4" t="s">
        <v>99</v>
      </c>
      <c r="C214" s="4" t="s">
        <v>840</v>
      </c>
      <c r="D214" s="1">
        <v>242.5</v>
      </c>
      <c r="E214" s="1">
        <v>0</v>
      </c>
      <c r="F214" s="1">
        <f t="shared" si="294"/>
        <v>242.5</v>
      </c>
      <c r="G214" s="1">
        <v>240.5</v>
      </c>
      <c r="H214" s="1">
        <v>0</v>
      </c>
      <c r="I214" s="1">
        <f t="shared" si="257"/>
        <v>240.5</v>
      </c>
      <c r="J214" s="1">
        <f t="shared" si="258"/>
        <v>397.6</v>
      </c>
      <c r="K214" s="1">
        <f>IF(ISNA(VLOOKUP($CZ214,'Audit Values'!$A$2:$AE$439,2,FALSE)),'Preliminary SO66'!B211,VLOOKUP($CZ214,'Audit Values'!$A$2:$AE$439,31,FALSE))</f>
        <v>232.5</v>
      </c>
      <c r="L214" s="1">
        <f t="shared" si="259"/>
        <v>240.5</v>
      </c>
      <c r="M214" s="1">
        <f>IF(ISNA(VLOOKUP($CZ214,'Audit Values'!$A$2:$AE$439,2,FALSE)),'Preliminary SO66'!Z211,VLOOKUP($CZ214,'Audit Values'!$A$2:$AE$439,26,FALSE))</f>
        <v>0</v>
      </c>
      <c r="N214" s="1">
        <f t="shared" si="260"/>
        <v>240.5</v>
      </c>
      <c r="O214" s="1">
        <f>IF(ISNA(VLOOKUP($CZ214,'Audit Values'!$A$2:$AE$439,2,FALSE)),'Preliminary SO66'!C211,IF(VLOOKUP($CZ214,'Audit Values'!$A$2:$AE$439,28,FALSE)="",VLOOKUP($CZ214,'Audit Values'!$A$2:$AE$439,3,FALSE),VLOOKUP($CZ214,'Audit Values'!$A$2:$AE$439,28,FALSE)))</f>
        <v>0</v>
      </c>
      <c r="P214" s="109">
        <f t="shared" si="261"/>
        <v>232.5</v>
      </c>
      <c r="Q214" s="110">
        <f t="shared" si="262"/>
        <v>397.6</v>
      </c>
      <c r="R214" s="111">
        <f t="shared" si="263"/>
        <v>397.6</v>
      </c>
      <c r="S214" s="1">
        <f t="shared" si="264"/>
        <v>240.5</v>
      </c>
      <c r="T214" s="1">
        <f t="shared" si="293"/>
        <v>165.1</v>
      </c>
      <c r="U214" s="1">
        <f t="shared" si="265"/>
        <v>154.4</v>
      </c>
      <c r="V214" s="1">
        <f t="shared" si="251"/>
        <v>154.4</v>
      </c>
      <c r="W214" s="1">
        <f t="shared" si="252"/>
        <v>0</v>
      </c>
      <c r="X214" s="1">
        <f>IF(ISNA(VLOOKUP($CZ214,'Audit Values'!$A$2:$AE$439,2,FALSE)),'Preliminary SO66'!D211,VLOOKUP($CZ214,'Audit Values'!$A$2:$AE$439,4,FALSE))</f>
        <v>62.2</v>
      </c>
      <c r="Y214" s="1">
        <f>ROUND((X214/6)*Weightings!$M$6,1)</f>
        <v>5.2</v>
      </c>
      <c r="Z214" s="1">
        <f>IF(ISNA(VLOOKUP($CZ214,'Audit Values'!$A$2:$AE$439,2,FALSE)),'Preliminary SO66'!F211,VLOOKUP($CZ214,'Audit Values'!$A$2:$AE$439,6,FALSE))</f>
        <v>0</v>
      </c>
      <c r="AA214" s="1">
        <f>ROUND((Z214/6)*Weightings!$M$7,1)</f>
        <v>0</v>
      </c>
      <c r="AB214" s="2">
        <f>IF(ISNA(VLOOKUP($CZ214,'Audit Values'!$A$2:$AE$439,2,FALSE)),'Preliminary SO66'!H211,VLOOKUP($CZ214,'Audit Values'!$A$2:$AE$439,8,FALSE))</f>
        <v>75</v>
      </c>
      <c r="AC214" s="1">
        <f>ROUND(AB214*Weightings!$M$8,1)</f>
        <v>34.200000000000003</v>
      </c>
      <c r="AD214" s="1">
        <f t="shared" si="249"/>
        <v>0</v>
      </c>
      <c r="AE214" s="185">
        <v>9</v>
      </c>
      <c r="AF214" s="1">
        <f>AE214*Weightings!$M$9</f>
        <v>0.4</v>
      </c>
      <c r="AG214" s="1">
        <f>IF(ISNA(VLOOKUP($CZ214,'Audit Values'!$A$2:$AE$439,2,FALSE)),'Preliminary SO66'!L211,VLOOKUP($CZ214,'Audit Values'!$A$2:$AE$439,12,FALSE))</f>
        <v>26.1</v>
      </c>
      <c r="AH214" s="1">
        <f>ROUND(AG214*Weightings!$M$10,1)</f>
        <v>6.5</v>
      </c>
      <c r="AI214" s="1">
        <f>IF(ISNA(VLOOKUP($CZ214,'Audit Values'!$A$2:$AE$439,2,FALSE)),'Preliminary SO66'!O211,VLOOKUP($CZ214,'Audit Values'!$A$2:$AE$439,15,FALSE))</f>
        <v>87</v>
      </c>
      <c r="AJ214" s="1">
        <f t="shared" si="266"/>
        <v>33.200000000000003</v>
      </c>
      <c r="AK214" s="1">
        <f>CC214/Weightings!$M$5</f>
        <v>0</v>
      </c>
      <c r="AL214" s="1">
        <f>CD214/Weightings!$M$5</f>
        <v>0</v>
      </c>
      <c r="AM214" s="1">
        <f>CH214/Weightings!$M$5</f>
        <v>0</v>
      </c>
      <c r="AN214" s="1">
        <f t="shared" si="253"/>
        <v>181.9</v>
      </c>
      <c r="AO214" s="1">
        <f>IF(ISNA(VLOOKUP($CZ214,'Audit Values'!$A$2:$AE$439,2,FALSE)),'Preliminary SO66'!X211,VLOOKUP($CZ214,'Audit Values'!$A$2:$AE$439,24,FALSE))</f>
        <v>0</v>
      </c>
      <c r="AP214" s="188">
        <v>298045.99999999994</v>
      </c>
      <c r="AQ214" s="113">
        <f>AP214/Weightings!$M$5</f>
        <v>77.7</v>
      </c>
      <c r="AR214" s="113">
        <f t="shared" si="267"/>
        <v>656.3</v>
      </c>
      <c r="AS214" s="1">
        <f t="shared" si="268"/>
        <v>734</v>
      </c>
      <c r="AT214" s="1">
        <f t="shared" si="269"/>
        <v>734</v>
      </c>
      <c r="AU214" s="2">
        <f t="shared" si="283"/>
        <v>164075</v>
      </c>
      <c r="AV214" s="142">
        <f>IF(ISNA(VLOOKUP($CZ214,'Audit Values'!$A$2:$AC$360,2,FALSE)),"",IF(AND(Weightings!H214&gt;0,VLOOKUP($CZ214,'Audit Values'!$A$2:$AC$360,29,FALSE)&lt;Weightings!H214),Weightings!H214,VLOOKUP($CZ214,'Audit Values'!$A$2:$AC$360,29,FALSE)))</f>
        <v>8</v>
      </c>
      <c r="AW214" s="142" t="str">
        <f>IF(ISNA(VLOOKUP($CZ214,'Audit Values'!$A$2:$AD$360,2,FALSE)),"",VLOOKUP($CZ214,'Audit Values'!$A$2:$AD$360,30,FALSE))</f>
        <v>A</v>
      </c>
      <c r="AX214" s="159" t="str">
        <f>IF(Weightings!G214="","",IF(Weightings!I214="Pending","PX","R"))</f>
        <v/>
      </c>
      <c r="AY214" s="141">
        <f>Exceptions!E76+AU214</f>
        <v>3310530</v>
      </c>
      <c r="AZ214" s="138">
        <f>Exceptions!E78+AU214</f>
        <v>3608743</v>
      </c>
      <c r="BA214" s="2">
        <f>IF(Weightings!G214&gt;0,Weightings!G214,'Preliminary SO66'!AB211)</f>
        <v>3713074</v>
      </c>
      <c r="BB214" s="2">
        <f t="shared" si="270"/>
        <v>3608743</v>
      </c>
      <c r="BC214" s="124"/>
      <c r="BD214" s="124">
        <f>Weightings!E214</f>
        <v>0</v>
      </c>
      <c r="BE214" s="124">
        <f>Weightings!F214</f>
        <v>0</v>
      </c>
      <c r="BF214" s="2">
        <f t="shared" si="271"/>
        <v>0</v>
      </c>
      <c r="BG214" s="2">
        <f t="shared" si="272"/>
        <v>3608743</v>
      </c>
      <c r="BH214" s="2">
        <f>MAX(ROUND(((AR214-AO214)*4433)+AP214,0),ROUND(((AR214-AO214)*4433)+Weightings!B214,0))</f>
        <v>3207424</v>
      </c>
      <c r="BI214" s="174">
        <v>0.3</v>
      </c>
      <c r="BJ214" s="2">
        <f t="shared" si="245"/>
        <v>962227</v>
      </c>
      <c r="BK214" s="173">
        <v>1110786</v>
      </c>
      <c r="BL214" s="2">
        <f t="shared" si="246"/>
        <v>962227</v>
      </c>
      <c r="BM214" s="3">
        <f t="shared" si="284"/>
        <v>0.3</v>
      </c>
      <c r="BN214" s="1">
        <f t="shared" si="273"/>
        <v>0</v>
      </c>
      <c r="BO214" s="4" t="b">
        <f t="shared" si="274"/>
        <v>1</v>
      </c>
      <c r="BP214" s="5">
        <f t="shared" si="275"/>
        <v>1356.528</v>
      </c>
      <c r="BQ214" s="6">
        <f t="shared" si="247"/>
        <v>0.64190400000000003</v>
      </c>
      <c r="BR214" s="4">
        <f t="shared" si="276"/>
        <v>154.4</v>
      </c>
      <c r="BS214" s="4" t="b">
        <f t="shared" si="277"/>
        <v>0</v>
      </c>
      <c r="BT214" s="4">
        <f t="shared" si="278"/>
        <v>0</v>
      </c>
      <c r="BU214" s="6">
        <f t="shared" si="248"/>
        <v>0</v>
      </c>
      <c r="BV214" s="1">
        <f t="shared" si="279"/>
        <v>0</v>
      </c>
      <c r="BW214" s="1">
        <f t="shared" si="280"/>
        <v>0</v>
      </c>
      <c r="BX214" s="116">
        <v>459.8</v>
      </c>
      <c r="BY214" s="7">
        <f t="shared" si="285"/>
        <v>0.19</v>
      </c>
      <c r="BZ214" s="7">
        <f>IF(ROUND((Weightings!$P$5*BY214^Weightings!$P$6*Weightings!$P$8 ),2)&lt;Weightings!$P$7,Weightings!$P$7,ROUND((Weightings!$P$5*BY214^Weightings!$P$6*Weightings!$P$8 ),2))</f>
        <v>1463.83</v>
      </c>
      <c r="CA214" s="8">
        <f>ROUND(BZ214/Weightings!$M$5,4)</f>
        <v>0.38140000000000002</v>
      </c>
      <c r="CB214" s="1">
        <f t="shared" si="286"/>
        <v>33.200000000000003</v>
      </c>
      <c r="CC214" s="173">
        <v>0</v>
      </c>
      <c r="CD214" s="173">
        <v>0</v>
      </c>
      <c r="CE214" s="173">
        <v>0</v>
      </c>
      <c r="CF214" s="177">
        <v>0</v>
      </c>
      <c r="CG214" s="2">
        <f>AS214*Weightings!$M$5*CF214</f>
        <v>0</v>
      </c>
      <c r="CH214" s="2">
        <f t="shared" si="250"/>
        <v>0</v>
      </c>
      <c r="CI214" s="117">
        <f t="shared" si="281"/>
        <v>0.312</v>
      </c>
      <c r="CJ214" s="4">
        <f t="shared" si="282"/>
        <v>0.5</v>
      </c>
      <c r="CK214" s="1">
        <f t="shared" si="287"/>
        <v>0</v>
      </c>
      <c r="CL214" s="1">
        <f t="shared" si="288"/>
        <v>0</v>
      </c>
      <c r="CM214" s="1">
        <f t="shared" si="289"/>
        <v>0</v>
      </c>
      <c r="CN214" s="1">
        <f>IF(ISNA(VLOOKUP($CZ214,'Audit Values'!$A$2:$AE$439,2,FALSE)),'Preliminary SO66'!T211,VLOOKUP($CZ214,'Audit Values'!$A$2:$AE$439,20,FALSE))</f>
        <v>165.1</v>
      </c>
      <c r="CO214" s="1">
        <f t="shared" si="254"/>
        <v>173.4</v>
      </c>
      <c r="CP214" s="181">
        <v>34</v>
      </c>
      <c r="CQ214" s="1">
        <f t="shared" si="255"/>
        <v>8.5</v>
      </c>
      <c r="CR214" s="2">
        <f>IF(ISNA(VLOOKUP($CZ214,'Audit Values'!$A$2:$AE$439,2,FALSE)),'Preliminary SO66'!V211,VLOOKUP($CZ214,'Audit Values'!$A$2:$AE$439,22,FALSE))</f>
        <v>0</v>
      </c>
      <c r="CS214" s="1">
        <f t="shared" si="256"/>
        <v>0</v>
      </c>
      <c r="CT214" s="2">
        <f>IF(ISNA(VLOOKUP($CZ214,'Audit Values'!$A$2:$AE$439,2,FALSE)),'Preliminary SO66'!W211,VLOOKUP($CZ214,'Audit Values'!$A$2:$AE$439,23,FALSE))</f>
        <v>0</v>
      </c>
      <c r="CU214" s="1">
        <f t="shared" si="291"/>
        <v>0</v>
      </c>
      <c r="CV214" s="1">
        <f t="shared" si="292"/>
        <v>181.9</v>
      </c>
      <c r="CW214" s="176">
        <v>164075</v>
      </c>
      <c r="CX214" s="2">
        <f>IF(CW214&gt;0,Weightings!$M$11*AR214,0)</f>
        <v>164075</v>
      </c>
      <c r="CY214" s="2">
        <f t="shared" si="290"/>
        <v>164075</v>
      </c>
      <c r="CZ214" s="108" t="s">
        <v>506</v>
      </c>
    </row>
    <row r="215" spans="1:104">
      <c r="A215" s="82">
        <v>423</v>
      </c>
      <c r="B215" s="4" t="s">
        <v>93</v>
      </c>
      <c r="C215" s="4" t="s">
        <v>841</v>
      </c>
      <c r="D215" s="1">
        <v>413.5</v>
      </c>
      <c r="E215" s="1">
        <v>0</v>
      </c>
      <c r="F215" s="1">
        <f t="shared" si="294"/>
        <v>413.5</v>
      </c>
      <c r="G215" s="1">
        <v>395</v>
      </c>
      <c r="H215" s="1">
        <v>0</v>
      </c>
      <c r="I215" s="1">
        <f t="shared" si="257"/>
        <v>395</v>
      </c>
      <c r="J215" s="1">
        <f t="shared" si="258"/>
        <v>391</v>
      </c>
      <c r="K215" s="1">
        <f>IF(ISNA(VLOOKUP($CZ215,'Audit Values'!$A$2:$AE$439,2,FALSE)),'Preliminary SO66'!B212,VLOOKUP($CZ215,'Audit Values'!$A$2:$AE$439,31,FALSE))</f>
        <v>391</v>
      </c>
      <c r="L215" s="1">
        <f t="shared" si="259"/>
        <v>399.8</v>
      </c>
      <c r="M215" s="1">
        <f>IF(ISNA(VLOOKUP($CZ215,'Audit Values'!$A$2:$AE$439,2,FALSE)),'Preliminary SO66'!Z212,VLOOKUP($CZ215,'Audit Values'!$A$2:$AE$439,26,FALSE))</f>
        <v>0</v>
      </c>
      <c r="N215" s="1">
        <f t="shared" si="260"/>
        <v>399.8</v>
      </c>
      <c r="O215" s="1">
        <f>IF(ISNA(VLOOKUP($CZ215,'Audit Values'!$A$2:$AE$439,2,FALSE)),'Preliminary SO66'!C212,IF(VLOOKUP($CZ215,'Audit Values'!$A$2:$AE$439,28,FALSE)="",VLOOKUP($CZ215,'Audit Values'!$A$2:$AE$439,3,FALSE),VLOOKUP($CZ215,'Audit Values'!$A$2:$AE$439,28,FALSE)))</f>
        <v>5</v>
      </c>
      <c r="P215" s="109">
        <f t="shared" si="261"/>
        <v>396</v>
      </c>
      <c r="Q215" s="110">
        <f t="shared" si="262"/>
        <v>396</v>
      </c>
      <c r="R215" s="111">
        <f t="shared" si="263"/>
        <v>396</v>
      </c>
      <c r="S215" s="1">
        <f t="shared" si="264"/>
        <v>404.8</v>
      </c>
      <c r="T215" s="1">
        <f t="shared" si="293"/>
        <v>0</v>
      </c>
      <c r="U215" s="1">
        <f t="shared" si="265"/>
        <v>181.6</v>
      </c>
      <c r="V215" s="1">
        <f t="shared" si="251"/>
        <v>181.6</v>
      </c>
      <c r="W215" s="1">
        <f t="shared" si="252"/>
        <v>0</v>
      </c>
      <c r="X215" s="1">
        <f>IF(ISNA(VLOOKUP($CZ215,'Audit Values'!$A$2:$AE$439,2,FALSE)),'Preliminary SO66'!D212,VLOOKUP($CZ215,'Audit Values'!$A$2:$AE$439,4,FALSE))</f>
        <v>75.599999999999994</v>
      </c>
      <c r="Y215" s="1">
        <f>ROUND((X215/6)*Weightings!$M$6,1)</f>
        <v>6.3</v>
      </c>
      <c r="Z215" s="1">
        <f>IF(ISNA(VLOOKUP($CZ215,'Audit Values'!$A$2:$AE$439,2,FALSE)),'Preliminary SO66'!F212,VLOOKUP($CZ215,'Audit Values'!$A$2:$AE$439,6,FALSE))</f>
        <v>0</v>
      </c>
      <c r="AA215" s="1">
        <f>ROUND((Z215/6)*Weightings!$M$7,1)</f>
        <v>0</v>
      </c>
      <c r="AB215" s="2">
        <f>IF(ISNA(VLOOKUP($CZ215,'Audit Values'!$A$2:$AE$439,2,FALSE)),'Preliminary SO66'!H212,VLOOKUP($CZ215,'Audit Values'!$A$2:$AE$439,8,FALSE))</f>
        <v>101</v>
      </c>
      <c r="AC215" s="1">
        <f>ROUND(AB215*Weightings!$M$8,1)</f>
        <v>46.1</v>
      </c>
      <c r="AD215" s="1">
        <f t="shared" si="249"/>
        <v>0</v>
      </c>
      <c r="AE215" s="185">
        <v>27</v>
      </c>
      <c r="AF215" s="1">
        <f>AE215*Weightings!$M$9</f>
        <v>1.3</v>
      </c>
      <c r="AG215" s="1">
        <f>IF(ISNA(VLOOKUP($CZ215,'Audit Values'!$A$2:$AE$439,2,FALSE)),'Preliminary SO66'!L212,VLOOKUP($CZ215,'Audit Values'!$A$2:$AE$439,12,FALSE))</f>
        <v>0</v>
      </c>
      <c r="AH215" s="1">
        <f>ROUND(AG215*Weightings!$M$10,1)</f>
        <v>0</v>
      </c>
      <c r="AI215" s="1">
        <f>IF(ISNA(VLOOKUP($CZ215,'Audit Values'!$A$2:$AE$439,2,FALSE)),'Preliminary SO66'!O212,VLOOKUP($CZ215,'Audit Values'!$A$2:$AE$439,15,FALSE))</f>
        <v>94</v>
      </c>
      <c r="AJ215" s="1">
        <f t="shared" si="266"/>
        <v>27.6</v>
      </c>
      <c r="AK215" s="1">
        <f>CC215/Weightings!$M$5</f>
        <v>0</v>
      </c>
      <c r="AL215" s="1">
        <f>CD215/Weightings!$M$5</f>
        <v>0</v>
      </c>
      <c r="AM215" s="1">
        <f>CH215/Weightings!$M$5</f>
        <v>0</v>
      </c>
      <c r="AN215" s="1">
        <f t="shared" si="253"/>
        <v>0</v>
      </c>
      <c r="AO215" s="1">
        <f>IF(ISNA(VLOOKUP($CZ215,'Audit Values'!$A$2:$AE$439,2,FALSE)),'Preliminary SO66'!X212,VLOOKUP($CZ215,'Audit Values'!$A$2:$AE$439,24,FALSE))</f>
        <v>0</v>
      </c>
      <c r="AP215" s="188">
        <v>509623</v>
      </c>
      <c r="AQ215" s="113">
        <f>AP215/Weightings!$M$5</f>
        <v>132.80000000000001</v>
      </c>
      <c r="AR215" s="113">
        <f t="shared" si="267"/>
        <v>667.7</v>
      </c>
      <c r="AS215" s="1">
        <f t="shared" si="268"/>
        <v>800.5</v>
      </c>
      <c r="AT215" s="1">
        <f t="shared" si="269"/>
        <v>800.5</v>
      </c>
      <c r="AU215" s="2">
        <f t="shared" si="283"/>
        <v>0</v>
      </c>
      <c r="AV215" s="82">
        <f>IF(ISNA(VLOOKUP($CZ215,'Audit Values'!$A$2:$AC$360,2,FALSE)),"",IF(AND(Weightings!H215&gt;0,VLOOKUP($CZ215,'Audit Values'!$A$2:$AC$360,29,FALSE)&lt;Weightings!H215),Weightings!H215,VLOOKUP($CZ215,'Audit Values'!$A$2:$AC$360,29,FALSE)))</f>
        <v>26</v>
      </c>
      <c r="AW215" s="82" t="str">
        <f>IF(ISNA(VLOOKUP($CZ215,'Audit Values'!$A$2:$AD$360,2,FALSE)),"",VLOOKUP($CZ215,'Audit Values'!$A$2:$AD$360,30,FALSE))</f>
        <v>A</v>
      </c>
      <c r="AX215" s="82" t="str">
        <f>IF(Weightings!G215="","",IF(Weightings!I215="Pending","PX","R"))</f>
        <v/>
      </c>
      <c r="AY215" s="114">
        <f>AR215*Weightings!$M$5+AU215</f>
        <v>2562633</v>
      </c>
      <c r="AZ215" s="2">
        <f>AT215*Weightings!$M$5+AU215</f>
        <v>3072319</v>
      </c>
      <c r="BA215" s="2">
        <f>IF(Weightings!G215&gt;0,Weightings!G215,'Preliminary SO66'!AB212)</f>
        <v>3230445</v>
      </c>
      <c r="BB215" s="2">
        <f t="shared" si="270"/>
        <v>3072319</v>
      </c>
      <c r="BC215" s="124"/>
      <c r="BD215" s="124">
        <f>Weightings!E215</f>
        <v>0</v>
      </c>
      <c r="BE215" s="124">
        <f>Weightings!F215</f>
        <v>0</v>
      </c>
      <c r="BF215" s="2">
        <f t="shared" si="271"/>
        <v>0</v>
      </c>
      <c r="BG215" s="2">
        <f t="shared" si="272"/>
        <v>3072319</v>
      </c>
      <c r="BH215" s="2">
        <f>MAX(ROUND(((AR215-AO215)*4433)+AP215,0),ROUND(((AR215-AO215)*4433)+Weightings!B215,0))</f>
        <v>3469537</v>
      </c>
      <c r="BI215" s="174">
        <v>0.3</v>
      </c>
      <c r="BJ215" s="2">
        <f t="shared" si="245"/>
        <v>1040861</v>
      </c>
      <c r="BK215" s="173">
        <v>1093559</v>
      </c>
      <c r="BL215" s="2">
        <f t="shared" si="246"/>
        <v>1040861</v>
      </c>
      <c r="BM215" s="3">
        <f t="shared" si="284"/>
        <v>0.3</v>
      </c>
      <c r="BN215" s="1">
        <f t="shared" si="273"/>
        <v>0</v>
      </c>
      <c r="BO215" s="4" t="b">
        <f t="shared" si="274"/>
        <v>0</v>
      </c>
      <c r="BP215" s="5">
        <f t="shared" si="275"/>
        <v>0</v>
      </c>
      <c r="BQ215" s="6">
        <f t="shared" si="247"/>
        <v>0</v>
      </c>
      <c r="BR215" s="4">
        <f t="shared" si="276"/>
        <v>0</v>
      </c>
      <c r="BS215" s="4" t="b">
        <f t="shared" si="277"/>
        <v>1</v>
      </c>
      <c r="BT215" s="4">
        <f t="shared" si="278"/>
        <v>129.69</v>
      </c>
      <c r="BU215" s="6">
        <f t="shared" si="248"/>
        <v>0.44858100000000001</v>
      </c>
      <c r="BV215" s="1">
        <f t="shared" si="279"/>
        <v>181.6</v>
      </c>
      <c r="BW215" s="1">
        <f t="shared" si="280"/>
        <v>0</v>
      </c>
      <c r="BX215" s="116">
        <v>156</v>
      </c>
      <c r="BY215" s="7">
        <f t="shared" si="285"/>
        <v>0.6</v>
      </c>
      <c r="BZ215" s="7">
        <f>IF(ROUND((Weightings!$P$5*BY215^Weightings!$P$6*Weightings!$P$8 ),2)&lt;Weightings!$P$7,Weightings!$P$7,ROUND((Weightings!$P$5*BY215^Weightings!$P$6*Weightings!$P$8 ),2))</f>
        <v>1126.0999999999999</v>
      </c>
      <c r="CA215" s="8">
        <f>ROUND(BZ215/Weightings!$M$5,4)</f>
        <v>0.29339999999999999</v>
      </c>
      <c r="CB215" s="1">
        <f t="shared" si="286"/>
        <v>27.6</v>
      </c>
      <c r="CC215" s="173">
        <v>0</v>
      </c>
      <c r="CD215" s="173">
        <v>0</v>
      </c>
      <c r="CE215" s="173">
        <v>0</v>
      </c>
      <c r="CF215" s="177">
        <v>0</v>
      </c>
      <c r="CG215" s="2">
        <f>AS215*Weightings!$M$5*CF215</f>
        <v>0</v>
      </c>
      <c r="CH215" s="2">
        <f t="shared" si="250"/>
        <v>0</v>
      </c>
      <c r="CI215" s="117">
        <f t="shared" si="281"/>
        <v>0.25</v>
      </c>
      <c r="CJ215" s="4">
        <f t="shared" si="282"/>
        <v>2.6</v>
      </c>
      <c r="CK215" s="1">
        <f t="shared" si="287"/>
        <v>0</v>
      </c>
      <c r="CL215" s="1">
        <f t="shared" si="288"/>
        <v>0</v>
      </c>
      <c r="CM215" s="1">
        <f t="shared" si="289"/>
        <v>0</v>
      </c>
      <c r="CN215" s="1">
        <f>IF(ISNA(VLOOKUP($CZ215,'Audit Values'!$A$2:$AE$439,2,FALSE)),'Preliminary SO66'!T212,VLOOKUP($CZ215,'Audit Values'!$A$2:$AE$439,20,FALSE))</f>
        <v>0</v>
      </c>
      <c r="CO215" s="1">
        <f t="shared" si="254"/>
        <v>0</v>
      </c>
      <c r="CP215" s="183">
        <v>0</v>
      </c>
      <c r="CQ215" s="1">
        <f t="shared" si="255"/>
        <v>0</v>
      </c>
      <c r="CR215" s="2">
        <f>IF(ISNA(VLOOKUP($CZ215,'Audit Values'!$A$2:$AE$439,2,FALSE)),'Preliminary SO66'!V212,VLOOKUP($CZ215,'Audit Values'!$A$2:$AE$439,22,FALSE))</f>
        <v>0</v>
      </c>
      <c r="CS215" s="1">
        <f t="shared" si="256"/>
        <v>0</v>
      </c>
      <c r="CT215" s="2">
        <f>IF(ISNA(VLOOKUP($CZ215,'Audit Values'!$A$2:$AE$439,2,FALSE)),'Preliminary SO66'!W212,VLOOKUP($CZ215,'Audit Values'!$A$2:$AE$439,23,FALSE))</f>
        <v>0</v>
      </c>
      <c r="CU215" s="1">
        <f t="shared" si="291"/>
        <v>0</v>
      </c>
      <c r="CV215" s="1">
        <f t="shared" si="292"/>
        <v>0</v>
      </c>
      <c r="CW215" s="176">
        <v>0</v>
      </c>
      <c r="CX215" s="2">
        <f>IF(CW215&gt;0,Weightings!$M$11*AR215,0)</f>
        <v>0</v>
      </c>
      <c r="CY215" s="2">
        <f t="shared" si="290"/>
        <v>0</v>
      </c>
      <c r="CZ215" s="108" t="s">
        <v>507</v>
      </c>
    </row>
    <row r="216" spans="1:104">
      <c r="A216" s="82">
        <v>426</v>
      </c>
      <c r="B216" s="4" t="s">
        <v>100</v>
      </c>
      <c r="C216" s="4" t="s">
        <v>842</v>
      </c>
      <c r="D216" s="1">
        <v>235</v>
      </c>
      <c r="E216" s="1">
        <v>0</v>
      </c>
      <c r="F216" s="1">
        <f t="shared" si="294"/>
        <v>235</v>
      </c>
      <c r="G216" s="1">
        <v>221.5</v>
      </c>
      <c r="H216" s="1">
        <v>0</v>
      </c>
      <c r="I216" s="1">
        <f t="shared" si="257"/>
        <v>221.5</v>
      </c>
      <c r="J216" s="1">
        <f t="shared" si="258"/>
        <v>212</v>
      </c>
      <c r="K216" s="1">
        <f>IF(ISNA(VLOOKUP($CZ216,'Audit Values'!$A$2:$AE$439,2,FALSE)),'Preliminary SO66'!B213,VLOOKUP($CZ216,'Audit Values'!$A$2:$AE$439,31,FALSE))</f>
        <v>212</v>
      </c>
      <c r="L216" s="1">
        <f t="shared" si="259"/>
        <v>222.8</v>
      </c>
      <c r="M216" s="1">
        <f>IF(ISNA(VLOOKUP($CZ216,'Audit Values'!$A$2:$AE$439,2,FALSE)),'Preliminary SO66'!Z213,VLOOKUP($CZ216,'Audit Values'!$A$2:$AE$439,26,FALSE))</f>
        <v>0</v>
      </c>
      <c r="N216" s="1">
        <f t="shared" si="260"/>
        <v>222.8</v>
      </c>
      <c r="O216" s="1">
        <f>IF(ISNA(VLOOKUP($CZ216,'Audit Values'!$A$2:$AE$439,2,FALSE)),'Preliminary SO66'!C213,IF(VLOOKUP($CZ216,'Audit Values'!$A$2:$AE$439,28,FALSE)="",VLOOKUP($CZ216,'Audit Values'!$A$2:$AE$439,3,FALSE),VLOOKUP($CZ216,'Audit Values'!$A$2:$AE$439,28,FALSE)))</f>
        <v>0</v>
      </c>
      <c r="P216" s="109">
        <f t="shared" si="261"/>
        <v>212</v>
      </c>
      <c r="Q216" s="110">
        <f t="shared" si="262"/>
        <v>212</v>
      </c>
      <c r="R216" s="111">
        <f t="shared" si="263"/>
        <v>212</v>
      </c>
      <c r="S216" s="1">
        <f t="shared" si="264"/>
        <v>222.8</v>
      </c>
      <c r="T216" s="1">
        <f t="shared" si="293"/>
        <v>0</v>
      </c>
      <c r="U216" s="1">
        <f t="shared" si="265"/>
        <v>153.5</v>
      </c>
      <c r="V216" s="1">
        <f t="shared" si="251"/>
        <v>153.5</v>
      </c>
      <c r="W216" s="1">
        <f t="shared" si="252"/>
        <v>0</v>
      </c>
      <c r="X216" s="1">
        <f>IF(ISNA(VLOOKUP($CZ216,'Audit Values'!$A$2:$AE$439,2,FALSE)),'Preliminary SO66'!D213,VLOOKUP($CZ216,'Audit Values'!$A$2:$AE$439,4,FALSE))</f>
        <v>74.099999999999994</v>
      </c>
      <c r="Y216" s="1">
        <f>ROUND((X216/6)*Weightings!$M$6,1)</f>
        <v>6.2</v>
      </c>
      <c r="Z216" s="1">
        <f>IF(ISNA(VLOOKUP($CZ216,'Audit Values'!$A$2:$AE$439,2,FALSE)),'Preliminary SO66'!F213,VLOOKUP($CZ216,'Audit Values'!$A$2:$AE$439,6,FALSE))</f>
        <v>0</v>
      </c>
      <c r="AA216" s="1">
        <f>ROUND((Z216/6)*Weightings!$M$7,1)</f>
        <v>0</v>
      </c>
      <c r="AB216" s="2">
        <f>IF(ISNA(VLOOKUP($CZ216,'Audit Values'!$A$2:$AE$439,2,FALSE)),'Preliminary SO66'!H213,VLOOKUP($CZ216,'Audit Values'!$A$2:$AE$439,8,FALSE))</f>
        <v>84</v>
      </c>
      <c r="AC216" s="1">
        <f>ROUND(AB216*Weightings!$M$8,1)</f>
        <v>38.299999999999997</v>
      </c>
      <c r="AD216" s="1">
        <f t="shared" si="249"/>
        <v>1.6</v>
      </c>
      <c r="AE216" s="185">
        <v>17</v>
      </c>
      <c r="AF216" s="1">
        <f>AE216*Weightings!$M$9</f>
        <v>0.8</v>
      </c>
      <c r="AG216" s="1">
        <f>IF(ISNA(VLOOKUP($CZ216,'Audit Values'!$A$2:$AE$439,2,FALSE)),'Preliminary SO66'!L213,VLOOKUP($CZ216,'Audit Values'!$A$2:$AE$439,12,FALSE))</f>
        <v>0</v>
      </c>
      <c r="AH216" s="1">
        <f>ROUND(AG216*Weightings!$M$10,1)</f>
        <v>0</v>
      </c>
      <c r="AI216" s="1">
        <f>IF(ISNA(VLOOKUP($CZ216,'Audit Values'!$A$2:$AE$439,2,FALSE)),'Preliminary SO66'!O213,VLOOKUP($CZ216,'Audit Values'!$A$2:$AE$439,15,FALSE))</f>
        <v>83</v>
      </c>
      <c r="AJ216" s="1">
        <f t="shared" si="266"/>
        <v>26.3</v>
      </c>
      <c r="AK216" s="1">
        <f>CC216/Weightings!$M$5</f>
        <v>0</v>
      </c>
      <c r="AL216" s="1">
        <f>CD216/Weightings!$M$5</f>
        <v>0</v>
      </c>
      <c r="AM216" s="1">
        <f>CH216/Weightings!$M$5</f>
        <v>0</v>
      </c>
      <c r="AN216" s="1">
        <f t="shared" si="253"/>
        <v>0</v>
      </c>
      <c r="AO216" s="1">
        <f>IF(ISNA(VLOOKUP($CZ216,'Audit Values'!$A$2:$AE$439,2,FALSE)),'Preliminary SO66'!X213,VLOOKUP($CZ216,'Audit Values'!$A$2:$AE$439,24,FALSE))</f>
        <v>0</v>
      </c>
      <c r="AP216" s="188">
        <v>219309</v>
      </c>
      <c r="AQ216" s="113">
        <f>AP216/Weightings!$M$5</f>
        <v>57.1</v>
      </c>
      <c r="AR216" s="113">
        <f t="shared" si="267"/>
        <v>449.5</v>
      </c>
      <c r="AS216" s="1">
        <f t="shared" si="268"/>
        <v>506.6</v>
      </c>
      <c r="AT216" s="1">
        <f t="shared" si="269"/>
        <v>506.6</v>
      </c>
      <c r="AU216" s="2">
        <f t="shared" si="283"/>
        <v>0</v>
      </c>
      <c r="AV216" s="82">
        <f>IF(ISNA(VLOOKUP($CZ216,'Audit Values'!$A$2:$AC$360,2,FALSE)),"",IF(AND(Weightings!H216&gt;0,VLOOKUP($CZ216,'Audit Values'!$A$2:$AC$360,29,FALSE)&lt;Weightings!H216),Weightings!H216,VLOOKUP($CZ216,'Audit Values'!$A$2:$AC$360,29,FALSE)))</f>
        <v>31</v>
      </c>
      <c r="AW216" s="82" t="str">
        <f>IF(ISNA(VLOOKUP($CZ216,'Audit Values'!$A$2:$AD$360,2,FALSE)),"",VLOOKUP($CZ216,'Audit Values'!$A$2:$AD$360,30,FALSE))</f>
        <v>A</v>
      </c>
      <c r="AX216" s="82" t="str">
        <f>IF(Weightings!G216="","",IF(Weightings!I216="Pending","PX","R"))</f>
        <v>R</v>
      </c>
      <c r="AY216" s="114">
        <f>AR216*Weightings!$M$5+AU216</f>
        <v>1725181</v>
      </c>
      <c r="AZ216" s="2">
        <f>AT216*Weightings!$M$5+AU216</f>
        <v>1944331</v>
      </c>
      <c r="BA216" s="2">
        <f>IF(Weightings!G216&gt;0,Weightings!G216,'Preliminary SO66'!AB213)</f>
        <v>2013415</v>
      </c>
      <c r="BB216" s="2">
        <f t="shared" si="270"/>
        <v>1944331</v>
      </c>
      <c r="BC216" s="124"/>
      <c r="BD216" s="124">
        <f>Weightings!E216</f>
        <v>0</v>
      </c>
      <c r="BE216" s="124">
        <f>Weightings!F216</f>
        <v>0</v>
      </c>
      <c r="BF216" s="2">
        <f t="shared" si="271"/>
        <v>0</v>
      </c>
      <c r="BG216" s="2">
        <f t="shared" si="272"/>
        <v>1944331</v>
      </c>
      <c r="BH216" s="2">
        <f>MAX(ROUND(((AR216-AO216)*4433)+AP216,0),ROUND(((AR216-AO216)*4433)+Weightings!B216,0))</f>
        <v>2283992</v>
      </c>
      <c r="BI216" s="174">
        <v>0.3</v>
      </c>
      <c r="BJ216" s="2">
        <f t="shared" ref="BJ216:BJ221" si="295">BH216*BI216</f>
        <v>685198</v>
      </c>
      <c r="BK216" s="173">
        <v>672164</v>
      </c>
      <c r="BL216" s="2">
        <f t="shared" si="246"/>
        <v>672164</v>
      </c>
      <c r="BM216" s="3">
        <f t="shared" si="284"/>
        <v>0.29430000000000001</v>
      </c>
      <c r="BN216" s="1">
        <f t="shared" si="273"/>
        <v>0</v>
      </c>
      <c r="BO216" s="4" t="b">
        <f t="shared" si="274"/>
        <v>1</v>
      </c>
      <c r="BP216" s="5">
        <f t="shared" si="275"/>
        <v>1185.634</v>
      </c>
      <c r="BQ216" s="6">
        <f t="shared" si="247"/>
        <v>0.68882200000000005</v>
      </c>
      <c r="BR216" s="4">
        <f t="shared" si="276"/>
        <v>153.5</v>
      </c>
      <c r="BS216" s="4" t="b">
        <f t="shared" si="277"/>
        <v>0</v>
      </c>
      <c r="BT216" s="4">
        <f t="shared" si="278"/>
        <v>0</v>
      </c>
      <c r="BU216" s="6">
        <f t="shared" si="248"/>
        <v>0</v>
      </c>
      <c r="BV216" s="1">
        <f t="shared" si="279"/>
        <v>0</v>
      </c>
      <c r="BW216" s="1">
        <f t="shared" si="280"/>
        <v>0</v>
      </c>
      <c r="BX216" s="116">
        <v>194.8</v>
      </c>
      <c r="BY216" s="7">
        <f t="shared" si="285"/>
        <v>0.43</v>
      </c>
      <c r="BZ216" s="7">
        <f>IF(ROUND((Weightings!$P$5*BY216^Weightings!$P$6*Weightings!$P$8 ),2)&lt;Weightings!$P$7,Weightings!$P$7,ROUND((Weightings!$P$5*BY216^Weightings!$P$6*Weightings!$P$8 ),2))</f>
        <v>1215.01</v>
      </c>
      <c r="CA216" s="8">
        <f>ROUND(BZ216/Weightings!$M$5,4)</f>
        <v>0.31659999999999999</v>
      </c>
      <c r="CB216" s="1">
        <f t="shared" si="286"/>
        <v>26.3</v>
      </c>
      <c r="CC216" s="173">
        <v>0</v>
      </c>
      <c r="CD216" s="173">
        <v>0</v>
      </c>
      <c r="CE216" s="173">
        <v>0</v>
      </c>
      <c r="CF216" s="177">
        <v>0</v>
      </c>
      <c r="CG216" s="2">
        <f>AS216*Weightings!$M$5*CF216</f>
        <v>0</v>
      </c>
      <c r="CH216" s="2">
        <f t="shared" si="250"/>
        <v>0</v>
      </c>
      <c r="CI216" s="117">
        <f t="shared" si="281"/>
        <v>0.377</v>
      </c>
      <c r="CJ216" s="4">
        <f t="shared" si="282"/>
        <v>1.1000000000000001</v>
      </c>
      <c r="CK216" s="1">
        <f t="shared" si="287"/>
        <v>0</v>
      </c>
      <c r="CL216" s="1">
        <f t="shared" si="288"/>
        <v>0</v>
      </c>
      <c r="CM216" s="1">
        <f t="shared" si="289"/>
        <v>1.6</v>
      </c>
      <c r="CN216" s="1">
        <f>IF(ISNA(VLOOKUP($CZ216,'Audit Values'!$A$2:$AE$439,2,FALSE)),'Preliminary SO66'!T213,VLOOKUP($CZ216,'Audit Values'!$A$2:$AE$439,20,FALSE))</f>
        <v>0</v>
      </c>
      <c r="CO216" s="1">
        <f t="shared" si="254"/>
        <v>0</v>
      </c>
      <c r="CP216" s="183">
        <v>0</v>
      </c>
      <c r="CQ216" s="1">
        <f t="shared" si="255"/>
        <v>0</v>
      </c>
      <c r="CR216" s="2">
        <f>IF(ISNA(VLOOKUP($CZ216,'Audit Values'!$A$2:$AE$439,2,FALSE)),'Preliminary SO66'!V213,VLOOKUP($CZ216,'Audit Values'!$A$2:$AE$439,22,FALSE))</f>
        <v>0</v>
      </c>
      <c r="CS216" s="1">
        <f t="shared" si="256"/>
        <v>0</v>
      </c>
      <c r="CT216" s="2">
        <f>IF(ISNA(VLOOKUP($CZ216,'Audit Values'!$A$2:$AE$439,2,FALSE)),'Preliminary SO66'!W213,VLOOKUP($CZ216,'Audit Values'!$A$2:$AE$439,23,FALSE))</f>
        <v>0</v>
      </c>
      <c r="CU216" s="1">
        <f t="shared" ref="CU216:CU221" si="296">CT216*0.08</f>
        <v>0</v>
      </c>
      <c r="CV216" s="1">
        <f t="shared" ref="CV216:CV221" si="297">CO216+CQ216+CS216+CU216</f>
        <v>0</v>
      </c>
      <c r="CW216" s="176">
        <v>0</v>
      </c>
      <c r="CX216" s="2">
        <f>IF(CW216&gt;0,Weightings!$M$11*AR216,0)</f>
        <v>0</v>
      </c>
      <c r="CY216" s="2">
        <f t="shared" si="290"/>
        <v>0</v>
      </c>
      <c r="CZ216" s="108" t="s">
        <v>508</v>
      </c>
    </row>
    <row r="217" spans="1:104">
      <c r="A217" s="82">
        <v>428</v>
      </c>
      <c r="B217" s="4" t="s">
        <v>69</v>
      </c>
      <c r="C217" s="4" t="s">
        <v>843</v>
      </c>
      <c r="D217" s="1">
        <v>3000.9</v>
      </c>
      <c r="E217" s="1">
        <v>0</v>
      </c>
      <c r="F217" s="1">
        <f t="shared" si="294"/>
        <v>3000.9</v>
      </c>
      <c r="G217" s="1">
        <v>3019.3</v>
      </c>
      <c r="H217" s="1">
        <v>0</v>
      </c>
      <c r="I217" s="1">
        <f t="shared" si="257"/>
        <v>3019.3</v>
      </c>
      <c r="J217" s="1">
        <f t="shared" si="258"/>
        <v>2984.1</v>
      </c>
      <c r="K217" s="1">
        <f>IF(ISNA(VLOOKUP($CZ217,'Audit Values'!$A$2:$AE$439,2,FALSE)),'Preliminary SO66'!B214,VLOOKUP($CZ217,'Audit Values'!$A$2:$AE$439,31,FALSE))</f>
        <v>2984.1</v>
      </c>
      <c r="L217" s="1">
        <f t="shared" si="259"/>
        <v>3019.3</v>
      </c>
      <c r="M217" s="1">
        <f>IF(ISNA(VLOOKUP($CZ217,'Audit Values'!$A$2:$AE$439,2,FALSE)),'Preliminary SO66'!Z214,VLOOKUP($CZ217,'Audit Values'!$A$2:$AE$439,26,FALSE))</f>
        <v>0</v>
      </c>
      <c r="N217" s="1">
        <f t="shared" si="260"/>
        <v>3019.3</v>
      </c>
      <c r="O217" s="1">
        <f>IF(ISNA(VLOOKUP($CZ217,'Audit Values'!$A$2:$AE$439,2,FALSE)),'Preliminary SO66'!C214,IF(VLOOKUP($CZ217,'Audit Values'!$A$2:$AE$439,28,FALSE)="",VLOOKUP($CZ217,'Audit Values'!$A$2:$AE$439,3,FALSE),VLOOKUP($CZ217,'Audit Values'!$A$2:$AE$439,28,FALSE)))</f>
        <v>15</v>
      </c>
      <c r="P217" s="109">
        <f t="shared" si="261"/>
        <v>2999.1</v>
      </c>
      <c r="Q217" s="110">
        <f t="shared" si="262"/>
        <v>2999.1</v>
      </c>
      <c r="R217" s="111">
        <f t="shared" si="263"/>
        <v>2999.1</v>
      </c>
      <c r="S217" s="1">
        <f t="shared" si="264"/>
        <v>3034.3</v>
      </c>
      <c r="T217" s="1">
        <f t="shared" si="293"/>
        <v>0</v>
      </c>
      <c r="U217" s="1">
        <f t="shared" si="265"/>
        <v>106.3</v>
      </c>
      <c r="V217" s="1">
        <f t="shared" si="251"/>
        <v>0</v>
      </c>
      <c r="W217" s="1">
        <f t="shared" si="252"/>
        <v>106.3</v>
      </c>
      <c r="X217" s="1">
        <f>IF(ISNA(VLOOKUP($CZ217,'Audit Values'!$A$2:$AE$439,2,FALSE)),'Preliminary SO66'!D214,VLOOKUP($CZ217,'Audit Values'!$A$2:$AE$439,4,FALSE))</f>
        <v>539.70000000000005</v>
      </c>
      <c r="Y217" s="1">
        <f>ROUND((X217/6)*Weightings!$M$6,1)</f>
        <v>45</v>
      </c>
      <c r="Z217" s="1">
        <f>IF(ISNA(VLOOKUP($CZ217,'Audit Values'!$A$2:$AE$439,2,FALSE)),'Preliminary SO66'!F214,VLOOKUP($CZ217,'Audit Values'!$A$2:$AE$439,6,FALSE))</f>
        <v>2609.6</v>
      </c>
      <c r="AA217" s="1">
        <f>ROUND((Z217/6)*Weightings!$M$7,1)</f>
        <v>171.8</v>
      </c>
      <c r="AB217" s="2">
        <f>IF(ISNA(VLOOKUP($CZ217,'Audit Values'!$A$2:$AE$439,2,FALSE)),'Preliminary SO66'!H214,VLOOKUP($CZ217,'Audit Values'!$A$2:$AE$439,8,FALSE))</f>
        <v>1808</v>
      </c>
      <c r="AC217" s="1">
        <f>ROUND(AB217*Weightings!$M$8,1)</f>
        <v>824.4</v>
      </c>
      <c r="AD217" s="1">
        <f t="shared" si="249"/>
        <v>189.8</v>
      </c>
      <c r="AE217" s="185">
        <v>156</v>
      </c>
      <c r="AF217" s="1">
        <f>AE217*Weightings!$M$9</f>
        <v>7.3</v>
      </c>
      <c r="AG217" s="1">
        <f>IF(ISNA(VLOOKUP($CZ217,'Audit Values'!$A$2:$AE$439,2,FALSE)),'Preliminary SO66'!L214,VLOOKUP($CZ217,'Audit Values'!$A$2:$AE$439,12,FALSE))</f>
        <v>0</v>
      </c>
      <c r="AH217" s="1">
        <f>ROUND(AG217*Weightings!$M$10,1)</f>
        <v>0</v>
      </c>
      <c r="AI217" s="1">
        <f>IF(ISNA(VLOOKUP($CZ217,'Audit Values'!$A$2:$AE$439,2,FALSE)),'Preliminary SO66'!O214,VLOOKUP($CZ217,'Audit Values'!$A$2:$AE$439,15,FALSE))</f>
        <v>196</v>
      </c>
      <c r="AJ217" s="1">
        <f t="shared" si="266"/>
        <v>50.8</v>
      </c>
      <c r="AK217" s="1">
        <f>CC217/Weightings!$M$5</f>
        <v>0</v>
      </c>
      <c r="AL217" s="1">
        <f>CD217/Weightings!$M$5</f>
        <v>0</v>
      </c>
      <c r="AM217" s="1">
        <f>CH217/Weightings!$M$5</f>
        <v>0</v>
      </c>
      <c r="AN217" s="1">
        <f t="shared" si="253"/>
        <v>0</v>
      </c>
      <c r="AO217" s="1">
        <f>IF(ISNA(VLOOKUP($CZ217,'Audit Values'!$A$2:$AE$439,2,FALSE)),'Preliminary SO66'!X214,VLOOKUP($CZ217,'Audit Values'!$A$2:$AE$439,24,FALSE))</f>
        <v>0</v>
      </c>
      <c r="AP217" s="188">
        <v>2245766</v>
      </c>
      <c r="AQ217" s="113">
        <f>AP217/Weightings!$M$5</f>
        <v>585.1</v>
      </c>
      <c r="AR217" s="113">
        <f t="shared" si="267"/>
        <v>4429.7</v>
      </c>
      <c r="AS217" s="1">
        <f t="shared" si="268"/>
        <v>5014.8</v>
      </c>
      <c r="AT217" s="1">
        <f t="shared" si="269"/>
        <v>5014.8</v>
      </c>
      <c r="AU217" s="2">
        <f t="shared" si="283"/>
        <v>0</v>
      </c>
      <c r="AV217" s="82">
        <f>IF(ISNA(VLOOKUP($CZ217,'Audit Values'!$A$2:$AC$360,2,FALSE)),"",IF(AND(Weightings!H217&gt;0,VLOOKUP($CZ217,'Audit Values'!$A$2:$AC$360,29,FALSE)&lt;Weightings!H217),Weightings!H217,VLOOKUP($CZ217,'Audit Values'!$A$2:$AC$360,29,FALSE)))</f>
        <v>14</v>
      </c>
      <c r="AW217" s="82" t="str">
        <f>IF(ISNA(VLOOKUP($CZ217,'Audit Values'!$A$2:$AD$360,2,FALSE)),"",VLOOKUP($CZ217,'Audit Values'!$A$2:$AD$360,30,FALSE))</f>
        <v>A</v>
      </c>
      <c r="AX217" s="82" t="str">
        <f>IF(Weightings!G217="","",IF(Weightings!I217="Pending","PX","R"))</f>
        <v/>
      </c>
      <c r="AY217" s="114">
        <f>AR217*Weightings!$M$5+AU217</f>
        <v>17001189</v>
      </c>
      <c r="AZ217" s="2">
        <f>AT217*Weightings!$M$5+AU217</f>
        <v>19246802</v>
      </c>
      <c r="BA217" s="2">
        <f>IF(Weightings!G217&gt;0,Weightings!G217,'Preliminary SO66'!AB214)</f>
        <v>19479001</v>
      </c>
      <c r="BB217" s="2">
        <f t="shared" si="270"/>
        <v>19246802</v>
      </c>
      <c r="BC217" s="124"/>
      <c r="BD217" s="124">
        <f>Weightings!E217</f>
        <v>0</v>
      </c>
      <c r="BE217" s="124">
        <f>Weightings!F217</f>
        <v>0</v>
      </c>
      <c r="BF217" s="2">
        <f t="shared" si="271"/>
        <v>0</v>
      </c>
      <c r="BG217" s="2">
        <f t="shared" si="272"/>
        <v>19246802</v>
      </c>
      <c r="BH217" s="2">
        <f>MAX(ROUND(((AR217-AO217)*4433)+AP217,0),ROUND(((AR217-AO217)*4433)+Weightings!B217,0))</f>
        <v>21882626</v>
      </c>
      <c r="BI217" s="174">
        <v>0.3</v>
      </c>
      <c r="BJ217" s="2">
        <f t="shared" si="295"/>
        <v>6564788</v>
      </c>
      <c r="BK217" s="173">
        <v>6000000</v>
      </c>
      <c r="BL217" s="2">
        <f t="shared" si="246"/>
        <v>6000000</v>
      </c>
      <c r="BM217" s="3">
        <f t="shared" si="284"/>
        <v>0.2742</v>
      </c>
      <c r="BN217" s="1">
        <f t="shared" si="273"/>
        <v>0</v>
      </c>
      <c r="BO217" s="4" t="b">
        <f t="shared" si="274"/>
        <v>0</v>
      </c>
      <c r="BP217" s="5">
        <f t="shared" si="275"/>
        <v>0</v>
      </c>
      <c r="BQ217" s="6">
        <f t="shared" si="247"/>
        <v>0</v>
      </c>
      <c r="BR217" s="4">
        <f t="shared" si="276"/>
        <v>0</v>
      </c>
      <c r="BS217" s="4" t="b">
        <f t="shared" si="277"/>
        <v>0</v>
      </c>
      <c r="BT217" s="4">
        <f t="shared" si="278"/>
        <v>0</v>
      </c>
      <c r="BU217" s="6">
        <f t="shared" si="248"/>
        <v>0</v>
      </c>
      <c r="BV217" s="1">
        <f t="shared" si="279"/>
        <v>0</v>
      </c>
      <c r="BW217" s="1">
        <f t="shared" si="280"/>
        <v>106.3</v>
      </c>
      <c r="BX217" s="116">
        <v>190</v>
      </c>
      <c r="BY217" s="7">
        <f t="shared" si="285"/>
        <v>1.03</v>
      </c>
      <c r="BZ217" s="7">
        <f>IF(ROUND((Weightings!$P$5*BY217^Weightings!$P$6*Weightings!$P$8 ),2)&lt;Weightings!$P$7,Weightings!$P$7,ROUND((Weightings!$P$5*BY217^Weightings!$P$6*Weightings!$P$8 ),2))</f>
        <v>995.51</v>
      </c>
      <c r="CA217" s="8">
        <f>ROUND(BZ217/Weightings!$M$5,4)</f>
        <v>0.25940000000000002</v>
      </c>
      <c r="CB217" s="1">
        <f t="shared" si="286"/>
        <v>50.8</v>
      </c>
      <c r="CC217" s="173">
        <v>0</v>
      </c>
      <c r="CD217" s="173">
        <v>0</v>
      </c>
      <c r="CE217" s="173">
        <v>0</v>
      </c>
      <c r="CF217" s="177">
        <v>0</v>
      </c>
      <c r="CG217" s="2">
        <f>AS217*Weightings!$M$5*CF217</f>
        <v>0</v>
      </c>
      <c r="CH217" s="2">
        <f t="shared" si="250"/>
        <v>0</v>
      </c>
      <c r="CI217" s="117">
        <f t="shared" si="281"/>
        <v>0.59599999999999997</v>
      </c>
      <c r="CJ217" s="4">
        <f t="shared" si="282"/>
        <v>16</v>
      </c>
      <c r="CK217" s="1">
        <f t="shared" si="287"/>
        <v>189.8</v>
      </c>
      <c r="CL217" s="1">
        <f t="shared" si="288"/>
        <v>0</v>
      </c>
      <c r="CM217" s="1">
        <f t="shared" si="289"/>
        <v>0</v>
      </c>
      <c r="CN217" s="1">
        <f>IF(ISNA(VLOOKUP($CZ217,'Audit Values'!$A$2:$AE$439,2,FALSE)),'Preliminary SO66'!T214,VLOOKUP($CZ217,'Audit Values'!$A$2:$AE$439,20,FALSE))</f>
        <v>0</v>
      </c>
      <c r="CO217" s="1">
        <f t="shared" si="254"/>
        <v>0</v>
      </c>
      <c r="CP217" s="183">
        <v>0</v>
      </c>
      <c r="CQ217" s="1">
        <f t="shared" si="255"/>
        <v>0</v>
      </c>
      <c r="CR217" s="2">
        <f>IF(ISNA(VLOOKUP($CZ217,'Audit Values'!$A$2:$AE$439,2,FALSE)),'Preliminary SO66'!V214,VLOOKUP($CZ217,'Audit Values'!$A$2:$AE$439,22,FALSE))</f>
        <v>0</v>
      </c>
      <c r="CS217" s="1">
        <f t="shared" si="256"/>
        <v>0</v>
      </c>
      <c r="CT217" s="2">
        <f>IF(ISNA(VLOOKUP($CZ217,'Audit Values'!$A$2:$AE$439,2,FALSE)),'Preliminary SO66'!W214,VLOOKUP($CZ217,'Audit Values'!$A$2:$AE$439,23,FALSE))</f>
        <v>0</v>
      </c>
      <c r="CU217" s="1">
        <f t="shared" si="296"/>
        <v>0</v>
      </c>
      <c r="CV217" s="1">
        <f t="shared" si="297"/>
        <v>0</v>
      </c>
      <c r="CW217" s="176">
        <v>0</v>
      </c>
      <c r="CX217" s="2">
        <f>IF(CW217&gt;0,Weightings!$M$11*AR217,0)</f>
        <v>0</v>
      </c>
      <c r="CY217" s="2">
        <f t="shared" si="290"/>
        <v>0</v>
      </c>
      <c r="CZ217" s="108" t="s">
        <v>509</v>
      </c>
    </row>
    <row r="218" spans="1:104">
      <c r="A218" s="82">
        <v>429</v>
      </c>
      <c r="B218" s="4" t="s">
        <v>94</v>
      </c>
      <c r="C218" s="4" t="s">
        <v>844</v>
      </c>
      <c r="D218" s="1">
        <v>350</v>
      </c>
      <c r="E218" s="1">
        <v>0</v>
      </c>
      <c r="F218" s="1">
        <f t="shared" si="294"/>
        <v>350</v>
      </c>
      <c r="G218" s="1">
        <v>337</v>
      </c>
      <c r="H218" s="1">
        <v>0</v>
      </c>
      <c r="I218" s="1">
        <f t="shared" si="257"/>
        <v>337</v>
      </c>
      <c r="J218" s="1">
        <f t="shared" si="258"/>
        <v>324</v>
      </c>
      <c r="K218" s="1">
        <f>IF(ISNA(VLOOKUP($CZ218,'Audit Values'!$A$2:$AE$439,2,FALSE)),'Preliminary SO66'!B215,VLOOKUP($CZ218,'Audit Values'!$A$2:$AE$439,31,FALSE))</f>
        <v>324</v>
      </c>
      <c r="L218" s="1">
        <f t="shared" si="259"/>
        <v>337</v>
      </c>
      <c r="M218" s="1">
        <f>IF(ISNA(VLOOKUP($CZ218,'Audit Values'!$A$2:$AE$439,2,FALSE)),'Preliminary SO66'!Z215,VLOOKUP($CZ218,'Audit Values'!$A$2:$AE$439,26,FALSE))</f>
        <v>0</v>
      </c>
      <c r="N218" s="1">
        <f t="shared" si="260"/>
        <v>337</v>
      </c>
      <c r="O218" s="1">
        <f>IF(ISNA(VLOOKUP($CZ218,'Audit Values'!$A$2:$AE$439,2,FALSE)),'Preliminary SO66'!C215,IF(VLOOKUP($CZ218,'Audit Values'!$A$2:$AE$439,28,FALSE)="",VLOOKUP($CZ218,'Audit Values'!$A$2:$AE$439,3,FALSE),VLOOKUP($CZ218,'Audit Values'!$A$2:$AE$439,28,FALSE)))</f>
        <v>0</v>
      </c>
      <c r="P218" s="109">
        <f t="shared" si="261"/>
        <v>324</v>
      </c>
      <c r="Q218" s="110">
        <f t="shared" si="262"/>
        <v>324</v>
      </c>
      <c r="R218" s="111">
        <f t="shared" si="263"/>
        <v>324</v>
      </c>
      <c r="S218" s="1">
        <f t="shared" si="264"/>
        <v>337</v>
      </c>
      <c r="T218" s="1">
        <f t="shared" si="293"/>
        <v>0</v>
      </c>
      <c r="U218" s="1">
        <f t="shared" si="265"/>
        <v>158.9</v>
      </c>
      <c r="V218" s="1">
        <f t="shared" si="251"/>
        <v>158.9</v>
      </c>
      <c r="W218" s="1">
        <f t="shared" si="252"/>
        <v>0</v>
      </c>
      <c r="X218" s="1">
        <f>IF(ISNA(VLOOKUP($CZ218,'Audit Values'!$A$2:$AE$439,2,FALSE)),'Preliminary SO66'!D215,VLOOKUP($CZ218,'Audit Values'!$A$2:$AE$439,4,FALSE))</f>
        <v>28.9</v>
      </c>
      <c r="Y218" s="1">
        <f>ROUND((X218/6)*Weightings!$M$6,1)</f>
        <v>2.4</v>
      </c>
      <c r="Z218" s="1">
        <f>IF(ISNA(VLOOKUP($CZ218,'Audit Values'!$A$2:$AE$439,2,FALSE)),'Preliminary SO66'!F215,VLOOKUP($CZ218,'Audit Values'!$A$2:$AE$439,6,FALSE))</f>
        <v>0</v>
      </c>
      <c r="AA218" s="1">
        <f>ROUND((Z218/6)*Weightings!$M$7,1)</f>
        <v>0</v>
      </c>
      <c r="AB218" s="2">
        <f>IF(ISNA(VLOOKUP($CZ218,'Audit Values'!$A$2:$AE$439,2,FALSE)),'Preliminary SO66'!H215,VLOOKUP($CZ218,'Audit Values'!$A$2:$AE$439,8,FALSE))</f>
        <v>94</v>
      </c>
      <c r="AC218" s="1">
        <f>ROUND(AB218*Weightings!$M$8,1)</f>
        <v>42.9</v>
      </c>
      <c r="AD218" s="1">
        <f t="shared" si="249"/>
        <v>0</v>
      </c>
      <c r="AE218" s="185">
        <v>30</v>
      </c>
      <c r="AF218" s="1">
        <f>AE218*Weightings!$M$9</f>
        <v>1.4</v>
      </c>
      <c r="AG218" s="1">
        <f>IF(ISNA(VLOOKUP($CZ218,'Audit Values'!$A$2:$AE$439,2,FALSE)),'Preliminary SO66'!L215,VLOOKUP($CZ218,'Audit Values'!$A$2:$AE$439,12,FALSE))</f>
        <v>0</v>
      </c>
      <c r="AH218" s="1">
        <f>ROUND(AG218*Weightings!$M$10,1)</f>
        <v>0</v>
      </c>
      <c r="AI218" s="1">
        <f>IF(ISNA(VLOOKUP($CZ218,'Audit Values'!$A$2:$AE$439,2,FALSE)),'Preliminary SO66'!O215,VLOOKUP($CZ218,'Audit Values'!$A$2:$AE$439,15,FALSE))</f>
        <v>91</v>
      </c>
      <c r="AJ218" s="1">
        <f t="shared" si="266"/>
        <v>24</v>
      </c>
      <c r="AK218" s="1">
        <f>CC218/Weightings!$M$5</f>
        <v>0</v>
      </c>
      <c r="AL218" s="1">
        <f>CD218/Weightings!$M$5</f>
        <v>0</v>
      </c>
      <c r="AM218" s="1">
        <f>CH218/Weightings!$M$5</f>
        <v>0</v>
      </c>
      <c r="AN218" s="1">
        <f t="shared" si="253"/>
        <v>0</v>
      </c>
      <c r="AO218" s="1">
        <f>IF(ISNA(VLOOKUP($CZ218,'Audit Values'!$A$2:$AE$439,2,FALSE)),'Preliminary SO66'!X215,VLOOKUP($CZ218,'Audit Values'!$A$2:$AE$439,24,FALSE))</f>
        <v>0</v>
      </c>
      <c r="AP218" s="188">
        <v>332265</v>
      </c>
      <c r="AQ218" s="113">
        <f>AP218/Weightings!$M$5</f>
        <v>86.6</v>
      </c>
      <c r="AR218" s="113">
        <f t="shared" si="267"/>
        <v>566.6</v>
      </c>
      <c r="AS218" s="1">
        <f t="shared" si="268"/>
        <v>653.20000000000005</v>
      </c>
      <c r="AT218" s="1">
        <f t="shared" si="269"/>
        <v>653.20000000000005</v>
      </c>
      <c r="AU218" s="2">
        <f t="shared" si="283"/>
        <v>0</v>
      </c>
      <c r="AV218" s="82">
        <f>IF(ISNA(VLOOKUP($CZ218,'Audit Values'!$A$2:$AC$360,2,FALSE)),"",IF(AND(Weightings!H218&gt;0,VLOOKUP($CZ218,'Audit Values'!$A$2:$AC$360,29,FALSE)&lt;Weightings!H218),Weightings!H218,VLOOKUP($CZ218,'Audit Values'!$A$2:$AC$360,29,FALSE)))</f>
        <v>1</v>
      </c>
      <c r="AW218" s="82" t="str">
        <f>IF(ISNA(VLOOKUP($CZ218,'Audit Values'!$A$2:$AD$360,2,FALSE)),"",VLOOKUP($CZ218,'Audit Values'!$A$2:$AD$360,30,FALSE))</f>
        <v>A</v>
      </c>
      <c r="AX218" s="82" t="str">
        <f>IF(Weightings!G218="","",IF(Weightings!I218="Pending","PX","R"))</f>
        <v/>
      </c>
      <c r="AY218" s="114">
        <f>AR218*Weightings!$M$5+AU218</f>
        <v>2174611</v>
      </c>
      <c r="AZ218" s="2">
        <f>AT218*Weightings!$M$5+AU218</f>
        <v>2506982</v>
      </c>
      <c r="BA218" s="2">
        <f>IF(Weightings!G218&gt;0,Weightings!G218,'Preliminary SO66'!AB215)</f>
        <v>2667794</v>
      </c>
      <c r="BB218" s="2">
        <f t="shared" si="270"/>
        <v>2506982</v>
      </c>
      <c r="BC218" s="124"/>
      <c r="BD218" s="124">
        <f>Weightings!E218</f>
        <v>0</v>
      </c>
      <c r="BE218" s="124">
        <f>Weightings!F218</f>
        <v>0</v>
      </c>
      <c r="BF218" s="2">
        <f t="shared" si="271"/>
        <v>0</v>
      </c>
      <c r="BG218" s="2">
        <f t="shared" si="272"/>
        <v>2506982</v>
      </c>
      <c r="BH218" s="2">
        <f>MAX(ROUND(((AR218-AO218)*4433)+AP218,0),ROUND(((AR218-AO218)*4433)+Weightings!B218,0))</f>
        <v>2850409</v>
      </c>
      <c r="BI218" s="174">
        <v>0.3</v>
      </c>
      <c r="BJ218" s="2">
        <f t="shared" si="295"/>
        <v>855123</v>
      </c>
      <c r="BK218" s="173">
        <v>819100</v>
      </c>
      <c r="BL218" s="2">
        <f t="shared" si="246"/>
        <v>819100</v>
      </c>
      <c r="BM218" s="3">
        <f t="shared" si="284"/>
        <v>0.28739999999999999</v>
      </c>
      <c r="BN218" s="1">
        <f t="shared" si="273"/>
        <v>0</v>
      </c>
      <c r="BO218" s="4" t="b">
        <f t="shared" si="274"/>
        <v>0</v>
      </c>
      <c r="BP218" s="5">
        <f t="shared" si="275"/>
        <v>0</v>
      </c>
      <c r="BQ218" s="6">
        <f t="shared" si="247"/>
        <v>0</v>
      </c>
      <c r="BR218" s="4">
        <f t="shared" si="276"/>
        <v>0</v>
      </c>
      <c r="BS218" s="4" t="b">
        <f t="shared" si="277"/>
        <v>1</v>
      </c>
      <c r="BT218" s="4">
        <f t="shared" si="278"/>
        <v>45.787500000000001</v>
      </c>
      <c r="BU218" s="6">
        <f t="shared" si="248"/>
        <v>0.47161599999999998</v>
      </c>
      <c r="BV218" s="1">
        <f t="shared" si="279"/>
        <v>158.9</v>
      </c>
      <c r="BW218" s="1">
        <f t="shared" si="280"/>
        <v>0</v>
      </c>
      <c r="BX218" s="116">
        <v>95</v>
      </c>
      <c r="BY218" s="7">
        <f t="shared" si="285"/>
        <v>0.96</v>
      </c>
      <c r="BZ218" s="7">
        <f>IF(ROUND((Weightings!$P$5*BY218^Weightings!$P$6*Weightings!$P$8 ),2)&lt;Weightings!$P$7,Weightings!$P$7,ROUND((Weightings!$P$5*BY218^Weightings!$P$6*Weightings!$P$8 ),2))</f>
        <v>1011.62</v>
      </c>
      <c r="CA218" s="8">
        <f>ROUND(BZ218/Weightings!$M$5,4)</f>
        <v>0.2636</v>
      </c>
      <c r="CB218" s="1">
        <f t="shared" si="286"/>
        <v>24</v>
      </c>
      <c r="CC218" s="173">
        <v>0</v>
      </c>
      <c r="CD218" s="173">
        <v>0</v>
      </c>
      <c r="CE218" s="173">
        <v>0</v>
      </c>
      <c r="CF218" s="177">
        <v>0</v>
      </c>
      <c r="CG218" s="2">
        <f>AS218*Weightings!$M$5*CF218</f>
        <v>0</v>
      </c>
      <c r="CH218" s="2">
        <f t="shared" si="250"/>
        <v>0</v>
      </c>
      <c r="CI218" s="117">
        <f t="shared" si="281"/>
        <v>0.27900000000000003</v>
      </c>
      <c r="CJ218" s="4">
        <f t="shared" si="282"/>
        <v>3.5</v>
      </c>
      <c r="CK218" s="1">
        <f t="shared" si="287"/>
        <v>0</v>
      </c>
      <c r="CL218" s="1">
        <f t="shared" si="288"/>
        <v>0</v>
      </c>
      <c r="CM218" s="1">
        <f t="shared" si="289"/>
        <v>0</v>
      </c>
      <c r="CN218" s="1">
        <f>IF(ISNA(VLOOKUP($CZ218,'Audit Values'!$A$2:$AE$439,2,FALSE)),'Preliminary SO66'!T215,VLOOKUP($CZ218,'Audit Values'!$A$2:$AE$439,20,FALSE))</f>
        <v>0</v>
      </c>
      <c r="CO218" s="1">
        <f t="shared" si="254"/>
        <v>0</v>
      </c>
      <c r="CP218" s="183">
        <v>0</v>
      </c>
      <c r="CQ218" s="1">
        <f t="shared" si="255"/>
        <v>0</v>
      </c>
      <c r="CR218" s="2">
        <f>IF(ISNA(VLOOKUP($CZ218,'Audit Values'!$A$2:$AE$439,2,FALSE)),'Preliminary SO66'!V215,VLOOKUP($CZ218,'Audit Values'!$A$2:$AE$439,22,FALSE))</f>
        <v>0</v>
      </c>
      <c r="CS218" s="1">
        <f t="shared" si="256"/>
        <v>0</v>
      </c>
      <c r="CT218" s="2">
        <f>IF(ISNA(VLOOKUP($CZ218,'Audit Values'!$A$2:$AE$439,2,FALSE)),'Preliminary SO66'!W215,VLOOKUP($CZ218,'Audit Values'!$A$2:$AE$439,23,FALSE))</f>
        <v>0</v>
      </c>
      <c r="CU218" s="1">
        <f t="shared" si="296"/>
        <v>0</v>
      </c>
      <c r="CV218" s="1">
        <f t="shared" si="297"/>
        <v>0</v>
      </c>
      <c r="CW218" s="176">
        <v>0</v>
      </c>
      <c r="CX218" s="2">
        <f>IF(CW218&gt;0,Weightings!$M$11*AR218,0)</f>
        <v>0</v>
      </c>
      <c r="CY218" s="2">
        <f t="shared" si="290"/>
        <v>0</v>
      </c>
      <c r="CZ218" s="108" t="s">
        <v>510</v>
      </c>
    </row>
    <row r="219" spans="1:104">
      <c r="A219" s="82">
        <v>430</v>
      </c>
      <c r="B219" s="4" t="s">
        <v>96</v>
      </c>
      <c r="C219" s="4" t="s">
        <v>845</v>
      </c>
      <c r="D219" s="1">
        <v>566.5</v>
      </c>
      <c r="E219" s="1">
        <v>0</v>
      </c>
      <c r="F219" s="1">
        <f t="shared" si="294"/>
        <v>566.5</v>
      </c>
      <c r="G219" s="1">
        <v>556.5</v>
      </c>
      <c r="H219" s="1">
        <v>0</v>
      </c>
      <c r="I219" s="1">
        <f t="shared" si="257"/>
        <v>556.5</v>
      </c>
      <c r="J219" s="1">
        <f t="shared" si="258"/>
        <v>563.20000000000005</v>
      </c>
      <c r="K219" s="1">
        <f>IF(ISNA(VLOOKUP($CZ219,'Audit Values'!$A$2:$AE$439,2,FALSE)),'Preliminary SO66'!B216,VLOOKUP($CZ219,'Audit Values'!$A$2:$AE$439,31,FALSE))</f>
        <v>563.20000000000005</v>
      </c>
      <c r="L219" s="1">
        <f t="shared" si="259"/>
        <v>563.20000000000005</v>
      </c>
      <c r="M219" s="1">
        <f>IF(ISNA(VLOOKUP($CZ219,'Audit Values'!$A$2:$AE$439,2,FALSE)),'Preliminary SO66'!Z216,VLOOKUP($CZ219,'Audit Values'!$A$2:$AE$439,26,FALSE))</f>
        <v>0</v>
      </c>
      <c r="N219" s="1">
        <f t="shared" si="260"/>
        <v>563.20000000000005</v>
      </c>
      <c r="O219" s="1">
        <f>IF(ISNA(VLOOKUP($CZ219,'Audit Values'!$A$2:$AE$439,2,FALSE)),'Preliminary SO66'!C216,IF(VLOOKUP($CZ219,'Audit Values'!$A$2:$AE$439,28,FALSE)="",VLOOKUP($CZ219,'Audit Values'!$A$2:$AE$439,3,FALSE),VLOOKUP($CZ219,'Audit Values'!$A$2:$AE$439,28,FALSE)))</f>
        <v>0</v>
      </c>
      <c r="P219" s="109">
        <f t="shared" si="261"/>
        <v>563.20000000000005</v>
      </c>
      <c r="Q219" s="110">
        <f t="shared" si="262"/>
        <v>563.20000000000005</v>
      </c>
      <c r="R219" s="111">
        <f t="shared" si="263"/>
        <v>563.20000000000005</v>
      </c>
      <c r="S219" s="1">
        <f t="shared" si="264"/>
        <v>563.20000000000005</v>
      </c>
      <c r="T219" s="1">
        <f t="shared" si="293"/>
        <v>0</v>
      </c>
      <c r="U219" s="1">
        <f t="shared" si="265"/>
        <v>222.3</v>
      </c>
      <c r="V219" s="1">
        <f t="shared" si="251"/>
        <v>222.3</v>
      </c>
      <c r="W219" s="1">
        <f t="shared" si="252"/>
        <v>0</v>
      </c>
      <c r="X219" s="1">
        <f>IF(ISNA(VLOOKUP($CZ219,'Audit Values'!$A$2:$AE$439,2,FALSE)),'Preliminary SO66'!D216,VLOOKUP($CZ219,'Audit Values'!$A$2:$AE$439,4,FALSE))</f>
        <v>159</v>
      </c>
      <c r="Y219" s="1">
        <f>ROUND((X219/6)*Weightings!$M$6,1)</f>
        <v>13.3</v>
      </c>
      <c r="Z219" s="1">
        <f>IF(ISNA(VLOOKUP($CZ219,'Audit Values'!$A$2:$AE$439,2,FALSE)),'Preliminary SO66'!F216,VLOOKUP($CZ219,'Audit Values'!$A$2:$AE$439,6,FALSE))</f>
        <v>102.8</v>
      </c>
      <c r="AA219" s="1">
        <f>ROUND((Z219/6)*Weightings!$M$7,1)</f>
        <v>6.8</v>
      </c>
      <c r="AB219" s="2">
        <f>IF(ISNA(VLOOKUP($CZ219,'Audit Values'!$A$2:$AE$439,2,FALSE)),'Preliminary SO66'!H216,VLOOKUP($CZ219,'Audit Values'!$A$2:$AE$439,8,FALSE))</f>
        <v>327</v>
      </c>
      <c r="AC219" s="1">
        <f>ROUND(AB219*Weightings!$M$8,1)</f>
        <v>149.1</v>
      </c>
      <c r="AD219" s="1">
        <f t="shared" si="249"/>
        <v>34.299999999999997</v>
      </c>
      <c r="AE219" s="185">
        <v>21</v>
      </c>
      <c r="AF219" s="1">
        <f>AE219*Weightings!$M$9</f>
        <v>1</v>
      </c>
      <c r="AG219" s="1">
        <f>IF(ISNA(VLOOKUP($CZ219,'Audit Values'!$A$2:$AE$439,2,FALSE)),'Preliminary SO66'!L216,VLOOKUP($CZ219,'Audit Values'!$A$2:$AE$439,12,FALSE))</f>
        <v>0</v>
      </c>
      <c r="AH219" s="1">
        <f>ROUND(AG219*Weightings!$M$10,1)</f>
        <v>0</v>
      </c>
      <c r="AI219" s="1">
        <f>IF(ISNA(VLOOKUP($CZ219,'Audit Values'!$A$2:$AE$439,2,FALSE)),'Preliminary SO66'!O216,VLOOKUP($CZ219,'Audit Values'!$A$2:$AE$439,15,FALSE))</f>
        <v>315.5</v>
      </c>
      <c r="AJ219" s="1">
        <f t="shared" si="266"/>
        <v>70.2</v>
      </c>
      <c r="AK219" s="1">
        <f>CC219/Weightings!$M$5</f>
        <v>0</v>
      </c>
      <c r="AL219" s="1">
        <f>CD219/Weightings!$M$5</f>
        <v>0</v>
      </c>
      <c r="AM219" s="1">
        <f>CH219/Weightings!$M$5</f>
        <v>0</v>
      </c>
      <c r="AN219" s="1">
        <f t="shared" si="253"/>
        <v>0</v>
      </c>
      <c r="AO219" s="1">
        <f>IF(ISNA(VLOOKUP($CZ219,'Audit Values'!$A$2:$AE$439,2,FALSE)),'Preliminary SO66'!X216,VLOOKUP($CZ219,'Audit Values'!$A$2:$AE$439,24,FALSE))</f>
        <v>0</v>
      </c>
      <c r="AP219" s="188">
        <v>745958.00000000012</v>
      </c>
      <c r="AQ219" s="113">
        <f>AP219/Weightings!$M$5</f>
        <v>194.4</v>
      </c>
      <c r="AR219" s="113">
        <f t="shared" si="267"/>
        <v>1060.2</v>
      </c>
      <c r="AS219" s="1">
        <f t="shared" si="268"/>
        <v>1254.5999999999999</v>
      </c>
      <c r="AT219" s="1">
        <f t="shared" si="269"/>
        <v>1254.5999999999999</v>
      </c>
      <c r="AU219" s="2">
        <f t="shared" si="283"/>
        <v>0</v>
      </c>
      <c r="AV219" s="82">
        <f>IF(ISNA(VLOOKUP($CZ219,'Audit Values'!$A$2:$AC$360,2,FALSE)),"",IF(AND(Weightings!H219&gt;0,VLOOKUP($CZ219,'Audit Values'!$A$2:$AC$360,29,FALSE)&lt;Weightings!H219),Weightings!H219,VLOOKUP($CZ219,'Audit Values'!$A$2:$AC$360,29,FALSE)))</f>
        <v>3</v>
      </c>
      <c r="AW219" s="82" t="str">
        <f>IF(ISNA(VLOOKUP($CZ219,'Audit Values'!$A$2:$AD$360,2,FALSE)),"",VLOOKUP($CZ219,'Audit Values'!$A$2:$AD$360,30,FALSE))</f>
        <v>A</v>
      </c>
      <c r="AX219" s="82" t="str">
        <f>IF(Weightings!G219="","",IF(Weightings!I219="Pending","PX","R"))</f>
        <v/>
      </c>
      <c r="AY219" s="114">
        <f>AR219*Weightings!$M$5+AU219</f>
        <v>4069048</v>
      </c>
      <c r="AZ219" s="2">
        <f>AT219*Weightings!$M$5+AU219</f>
        <v>4815155</v>
      </c>
      <c r="BA219" s="2">
        <f>IF(Weightings!G219&gt;0,Weightings!G219,'Preliminary SO66'!AB216)</f>
        <v>4869271</v>
      </c>
      <c r="BB219" s="2">
        <f t="shared" si="270"/>
        <v>4815155</v>
      </c>
      <c r="BC219" s="124"/>
      <c r="BD219" s="124">
        <f>Weightings!E219</f>
        <v>0</v>
      </c>
      <c r="BE219" s="124">
        <f>Weightings!F219</f>
        <v>0</v>
      </c>
      <c r="BF219" s="2">
        <f t="shared" si="271"/>
        <v>0</v>
      </c>
      <c r="BG219" s="2">
        <f t="shared" si="272"/>
        <v>4815155</v>
      </c>
      <c r="BH219" s="2">
        <f>MAX(ROUND(((AR219-AO219)*4433)+AP219,0),ROUND(((AR219-AO219)*4433)+Weightings!B219,0))</f>
        <v>5530260</v>
      </c>
      <c r="BI219" s="174">
        <v>0.3</v>
      </c>
      <c r="BJ219" s="2">
        <f t="shared" si="295"/>
        <v>1659078</v>
      </c>
      <c r="BK219" s="173">
        <v>1665594</v>
      </c>
      <c r="BL219" s="2">
        <f t="shared" si="246"/>
        <v>1659078</v>
      </c>
      <c r="BM219" s="3">
        <f t="shared" si="284"/>
        <v>0.3</v>
      </c>
      <c r="BN219" s="1">
        <f t="shared" si="273"/>
        <v>0</v>
      </c>
      <c r="BO219" s="4" t="b">
        <f t="shared" si="274"/>
        <v>0</v>
      </c>
      <c r="BP219" s="5">
        <f t="shared" si="275"/>
        <v>0</v>
      </c>
      <c r="BQ219" s="6">
        <f t="shared" si="247"/>
        <v>0</v>
      </c>
      <c r="BR219" s="4">
        <f t="shared" si="276"/>
        <v>0</v>
      </c>
      <c r="BS219" s="4" t="b">
        <f t="shared" si="277"/>
        <v>1</v>
      </c>
      <c r="BT219" s="4">
        <f t="shared" si="278"/>
        <v>325.70999999999998</v>
      </c>
      <c r="BU219" s="6">
        <f t="shared" si="248"/>
        <v>0.394764</v>
      </c>
      <c r="BV219" s="1">
        <f t="shared" si="279"/>
        <v>222.3</v>
      </c>
      <c r="BW219" s="1">
        <f t="shared" si="280"/>
        <v>0</v>
      </c>
      <c r="BX219" s="116">
        <v>156.4</v>
      </c>
      <c r="BY219" s="7">
        <f t="shared" si="285"/>
        <v>2.02</v>
      </c>
      <c r="BZ219" s="7">
        <f>IF(ROUND((Weightings!$P$5*BY219^Weightings!$P$6*Weightings!$P$8 ),2)&lt;Weightings!$P$7,Weightings!$P$7,ROUND((Weightings!$P$5*BY219^Weightings!$P$6*Weightings!$P$8 ),2))</f>
        <v>853.73</v>
      </c>
      <c r="CA219" s="8">
        <f>ROUND(BZ219/Weightings!$M$5,4)</f>
        <v>0.22239999999999999</v>
      </c>
      <c r="CB219" s="1">
        <f t="shared" si="286"/>
        <v>70.2</v>
      </c>
      <c r="CC219" s="173">
        <v>0</v>
      </c>
      <c r="CD219" s="173">
        <v>0</v>
      </c>
      <c r="CE219" s="173">
        <v>0</v>
      </c>
      <c r="CF219" s="177">
        <v>0</v>
      </c>
      <c r="CG219" s="2">
        <f>AS219*Weightings!$M$5*CF219</f>
        <v>0</v>
      </c>
      <c r="CH219" s="2">
        <f t="shared" si="250"/>
        <v>0</v>
      </c>
      <c r="CI219" s="117">
        <f t="shared" si="281"/>
        <v>0.58099999999999996</v>
      </c>
      <c r="CJ219" s="4">
        <f t="shared" si="282"/>
        <v>3.6</v>
      </c>
      <c r="CK219" s="1">
        <f t="shared" si="287"/>
        <v>34.299999999999997</v>
      </c>
      <c r="CL219" s="1">
        <f t="shared" si="288"/>
        <v>0</v>
      </c>
      <c r="CM219" s="1">
        <f t="shared" si="289"/>
        <v>0</v>
      </c>
      <c r="CN219" s="1">
        <f>IF(ISNA(VLOOKUP($CZ219,'Audit Values'!$A$2:$AE$439,2,FALSE)),'Preliminary SO66'!T216,VLOOKUP($CZ219,'Audit Values'!$A$2:$AE$439,20,FALSE))</f>
        <v>0</v>
      </c>
      <c r="CO219" s="1">
        <f t="shared" si="254"/>
        <v>0</v>
      </c>
      <c r="CP219" s="183">
        <v>0</v>
      </c>
      <c r="CQ219" s="1">
        <f t="shared" si="255"/>
        <v>0</v>
      </c>
      <c r="CR219" s="2">
        <f>IF(ISNA(VLOOKUP($CZ219,'Audit Values'!$A$2:$AE$439,2,FALSE)),'Preliminary SO66'!V216,VLOOKUP($CZ219,'Audit Values'!$A$2:$AE$439,22,FALSE))</f>
        <v>0</v>
      </c>
      <c r="CS219" s="1">
        <f t="shared" si="256"/>
        <v>0</v>
      </c>
      <c r="CT219" s="2">
        <f>IF(ISNA(VLOOKUP($CZ219,'Audit Values'!$A$2:$AE$439,2,FALSE)),'Preliminary SO66'!W216,VLOOKUP($CZ219,'Audit Values'!$A$2:$AE$439,23,FALSE))</f>
        <v>0</v>
      </c>
      <c r="CU219" s="1">
        <f t="shared" si="296"/>
        <v>0</v>
      </c>
      <c r="CV219" s="1">
        <f t="shared" si="297"/>
        <v>0</v>
      </c>
      <c r="CW219" s="176">
        <v>0</v>
      </c>
      <c r="CX219" s="2">
        <f>IF(CW219&gt;0,Weightings!$M$11*AR219,0)</f>
        <v>0</v>
      </c>
      <c r="CY219" s="2">
        <f t="shared" si="290"/>
        <v>0</v>
      </c>
      <c r="CZ219" s="108" t="s">
        <v>511</v>
      </c>
    </row>
    <row r="220" spans="1:104">
      <c r="A220" s="82">
        <v>431</v>
      </c>
      <c r="B220" s="4" t="s">
        <v>69</v>
      </c>
      <c r="C220" s="4" t="s">
        <v>846</v>
      </c>
      <c r="D220" s="1">
        <v>636.29999999999995</v>
      </c>
      <c r="E220" s="1">
        <v>0</v>
      </c>
      <c r="F220" s="1">
        <f t="shared" si="294"/>
        <v>636.29999999999995</v>
      </c>
      <c r="G220" s="1">
        <v>624.5</v>
      </c>
      <c r="H220" s="1">
        <v>0</v>
      </c>
      <c r="I220" s="1">
        <f t="shared" si="257"/>
        <v>624.5</v>
      </c>
      <c r="J220" s="1">
        <f t="shared" si="258"/>
        <v>668.5</v>
      </c>
      <c r="K220" s="1">
        <f>IF(ISNA(VLOOKUP($CZ220,'Audit Values'!$A$2:$AE$439,2,FALSE)),'Preliminary SO66'!B217,VLOOKUP($CZ220,'Audit Values'!$A$2:$AE$439,31,FALSE))</f>
        <v>668.5</v>
      </c>
      <c r="L220" s="1">
        <f t="shared" si="259"/>
        <v>668.5</v>
      </c>
      <c r="M220" s="1">
        <f>IF(ISNA(VLOOKUP($CZ220,'Audit Values'!$A$2:$AE$439,2,FALSE)),'Preliminary SO66'!Z217,VLOOKUP($CZ220,'Audit Values'!$A$2:$AE$439,26,FALSE))</f>
        <v>0</v>
      </c>
      <c r="N220" s="1">
        <f t="shared" si="260"/>
        <v>668.5</v>
      </c>
      <c r="O220" s="1">
        <f>IF(ISNA(VLOOKUP($CZ220,'Audit Values'!$A$2:$AE$439,2,FALSE)),'Preliminary SO66'!C217,IF(VLOOKUP($CZ220,'Audit Values'!$A$2:$AE$439,28,FALSE)="",VLOOKUP($CZ220,'Audit Values'!$A$2:$AE$439,3,FALSE),VLOOKUP($CZ220,'Audit Values'!$A$2:$AE$439,28,FALSE)))</f>
        <v>15.5</v>
      </c>
      <c r="P220" s="109">
        <f t="shared" si="261"/>
        <v>684</v>
      </c>
      <c r="Q220" s="110">
        <f t="shared" si="262"/>
        <v>684</v>
      </c>
      <c r="R220" s="111">
        <f t="shared" si="263"/>
        <v>684</v>
      </c>
      <c r="S220" s="1">
        <f t="shared" si="264"/>
        <v>684</v>
      </c>
      <c r="T220" s="1">
        <f t="shared" si="293"/>
        <v>0</v>
      </c>
      <c r="U220" s="1">
        <f t="shared" si="265"/>
        <v>241.9</v>
      </c>
      <c r="V220" s="1">
        <f t="shared" si="251"/>
        <v>241.9</v>
      </c>
      <c r="W220" s="1">
        <f t="shared" si="252"/>
        <v>0</v>
      </c>
      <c r="X220" s="1">
        <f>IF(ISNA(VLOOKUP($CZ220,'Audit Values'!$A$2:$AE$439,2,FALSE)),'Preliminary SO66'!D217,VLOOKUP($CZ220,'Audit Values'!$A$2:$AE$439,4,FALSE))</f>
        <v>176.1</v>
      </c>
      <c r="Y220" s="1">
        <f>ROUND((X220/6)*Weightings!$M$6,1)</f>
        <v>14.7</v>
      </c>
      <c r="Z220" s="1">
        <f>IF(ISNA(VLOOKUP($CZ220,'Audit Values'!$A$2:$AE$439,2,FALSE)),'Preliminary SO66'!F217,VLOOKUP($CZ220,'Audit Values'!$A$2:$AE$439,6,FALSE))</f>
        <v>0</v>
      </c>
      <c r="AA220" s="1">
        <f>ROUND((Z220/6)*Weightings!$M$7,1)</f>
        <v>0</v>
      </c>
      <c r="AB220" s="2">
        <f>IF(ISNA(VLOOKUP($CZ220,'Audit Values'!$A$2:$AE$439,2,FALSE)),'Preliminary SO66'!H217,VLOOKUP($CZ220,'Audit Values'!$A$2:$AE$439,8,FALSE))</f>
        <v>287</v>
      </c>
      <c r="AC220" s="1">
        <f>ROUND(AB220*Weightings!$M$8,1)</f>
        <v>130.9</v>
      </c>
      <c r="AD220" s="1">
        <f t="shared" si="249"/>
        <v>14.1</v>
      </c>
      <c r="AE220" s="185">
        <v>65</v>
      </c>
      <c r="AF220" s="1">
        <f>AE220*Weightings!$M$9</f>
        <v>3</v>
      </c>
      <c r="AG220" s="1">
        <f>IF(ISNA(VLOOKUP($CZ220,'Audit Values'!$A$2:$AE$439,2,FALSE)),'Preliminary SO66'!L217,VLOOKUP($CZ220,'Audit Values'!$A$2:$AE$439,12,FALSE))</f>
        <v>0</v>
      </c>
      <c r="AH220" s="1">
        <f>ROUND(AG220*Weightings!$M$10,1)</f>
        <v>0</v>
      </c>
      <c r="AI220" s="1">
        <f>IF(ISNA(VLOOKUP($CZ220,'Audit Values'!$A$2:$AE$439,2,FALSE)),'Preliminary SO66'!O217,VLOOKUP($CZ220,'Audit Values'!$A$2:$AE$439,15,FALSE))</f>
        <v>86.5</v>
      </c>
      <c r="AJ220" s="1">
        <f t="shared" si="266"/>
        <v>29.7</v>
      </c>
      <c r="AK220" s="1">
        <f>CC220/Weightings!$M$5</f>
        <v>0</v>
      </c>
      <c r="AL220" s="1">
        <f>CD220/Weightings!$M$5</f>
        <v>0</v>
      </c>
      <c r="AM220" s="1">
        <f>CH220/Weightings!$M$5</f>
        <v>0</v>
      </c>
      <c r="AN220" s="1">
        <f t="shared" si="253"/>
        <v>0</v>
      </c>
      <c r="AO220" s="1">
        <f>IF(ISNA(VLOOKUP($CZ220,'Audit Values'!$A$2:$AE$439,2,FALSE)),'Preliminary SO66'!X217,VLOOKUP($CZ220,'Audit Values'!$A$2:$AE$439,24,FALSE))</f>
        <v>0</v>
      </c>
      <c r="AP220" s="188">
        <v>649520</v>
      </c>
      <c r="AQ220" s="113">
        <f>AP220/Weightings!$M$5</f>
        <v>169.2</v>
      </c>
      <c r="AR220" s="113">
        <f t="shared" si="267"/>
        <v>1118.3</v>
      </c>
      <c r="AS220" s="1">
        <f t="shared" si="268"/>
        <v>1287.5</v>
      </c>
      <c r="AT220" s="1">
        <f t="shared" si="269"/>
        <v>1287.5</v>
      </c>
      <c r="AU220" s="2">
        <f t="shared" si="283"/>
        <v>0</v>
      </c>
      <c r="AV220" s="82">
        <f>IF(ISNA(VLOOKUP($CZ220,'Audit Values'!$A$2:$AC$360,2,FALSE)),"",IF(AND(Weightings!H220&gt;0,VLOOKUP($CZ220,'Audit Values'!$A$2:$AC$360,29,FALSE)&lt;Weightings!H220),Weightings!H220,VLOOKUP($CZ220,'Audit Values'!$A$2:$AC$360,29,FALSE)))</f>
        <v>9</v>
      </c>
      <c r="AW220" s="82" t="str">
        <f>IF(ISNA(VLOOKUP($CZ220,'Audit Values'!$A$2:$AD$360,2,FALSE)),"",VLOOKUP($CZ220,'Audit Values'!$A$2:$AD$360,30,FALSE))</f>
        <v>A</v>
      </c>
      <c r="AX220" s="82" t="str">
        <f>IF(Weightings!G220="","",IF(Weightings!I220="Pending","PX","R"))</f>
        <v>R</v>
      </c>
      <c r="AY220" s="114">
        <f>AR220*Weightings!$M$5+AU220</f>
        <v>4292035</v>
      </c>
      <c r="AZ220" s="2">
        <f>AT220*Weightings!$M$5+AU220</f>
        <v>4941425</v>
      </c>
      <c r="BA220" s="2">
        <f>IF(Weightings!G220&gt;0,Weightings!G220,'Preliminary SO66'!AB217)</f>
        <v>5090723</v>
      </c>
      <c r="BB220" s="2">
        <f t="shared" si="270"/>
        <v>4941425</v>
      </c>
      <c r="BC220" s="124"/>
      <c r="BD220" s="124">
        <f>Weightings!E220</f>
        <v>0</v>
      </c>
      <c r="BE220" s="124">
        <f>Weightings!F220</f>
        <v>0</v>
      </c>
      <c r="BF220" s="2">
        <f t="shared" si="271"/>
        <v>0</v>
      </c>
      <c r="BG220" s="2">
        <f t="shared" si="272"/>
        <v>4941425</v>
      </c>
      <c r="BH220" s="2">
        <f>MAX(ROUND(((AR220-AO220)*4433)+AP220,0),ROUND(((AR220-AO220)*4433)+Weightings!B220,0))</f>
        <v>5606944</v>
      </c>
      <c r="BI220" s="174">
        <v>0.3</v>
      </c>
      <c r="BJ220" s="2">
        <f t="shared" si="295"/>
        <v>1682083</v>
      </c>
      <c r="BK220" s="173">
        <v>1684511</v>
      </c>
      <c r="BL220" s="2">
        <f t="shared" si="246"/>
        <v>1682083</v>
      </c>
      <c r="BM220" s="3">
        <f t="shared" si="284"/>
        <v>0.3</v>
      </c>
      <c r="BN220" s="1">
        <f t="shared" si="273"/>
        <v>0</v>
      </c>
      <c r="BO220" s="4" t="b">
        <f t="shared" si="274"/>
        <v>0</v>
      </c>
      <c r="BP220" s="5">
        <f t="shared" si="275"/>
        <v>0</v>
      </c>
      <c r="BQ220" s="6">
        <f t="shared" si="247"/>
        <v>0</v>
      </c>
      <c r="BR220" s="4">
        <f t="shared" si="276"/>
        <v>0</v>
      </c>
      <c r="BS220" s="4" t="b">
        <f t="shared" si="277"/>
        <v>1</v>
      </c>
      <c r="BT220" s="4">
        <f t="shared" si="278"/>
        <v>475.2</v>
      </c>
      <c r="BU220" s="6">
        <f t="shared" si="248"/>
        <v>0.35372300000000001</v>
      </c>
      <c r="BV220" s="1">
        <f t="shared" si="279"/>
        <v>241.9</v>
      </c>
      <c r="BW220" s="1">
        <f t="shared" si="280"/>
        <v>0</v>
      </c>
      <c r="BX220" s="116">
        <v>292</v>
      </c>
      <c r="BY220" s="7">
        <f t="shared" si="285"/>
        <v>0.3</v>
      </c>
      <c r="BZ220" s="7">
        <f>IF(ROUND((Weightings!$P$5*BY220^Weightings!$P$6*Weightings!$P$8 ),2)&lt;Weightings!$P$7,Weightings!$P$7,ROUND((Weightings!$P$5*BY220^Weightings!$P$6*Weightings!$P$8 ),2))</f>
        <v>1318.99</v>
      </c>
      <c r="CA220" s="8">
        <f>ROUND(BZ220/Weightings!$M$5,4)</f>
        <v>0.34370000000000001</v>
      </c>
      <c r="CB220" s="1">
        <f t="shared" si="286"/>
        <v>29.7</v>
      </c>
      <c r="CC220" s="173">
        <v>0</v>
      </c>
      <c r="CD220" s="173">
        <v>0</v>
      </c>
      <c r="CE220" s="173">
        <v>0</v>
      </c>
      <c r="CF220" s="177">
        <v>0</v>
      </c>
      <c r="CG220" s="2">
        <f>AS220*Weightings!$M$5*CF220</f>
        <v>0</v>
      </c>
      <c r="CH220" s="2">
        <f t="shared" si="250"/>
        <v>0</v>
      </c>
      <c r="CI220" s="117">
        <f t="shared" si="281"/>
        <v>0.42</v>
      </c>
      <c r="CJ220" s="4">
        <f t="shared" si="282"/>
        <v>2.2999999999999998</v>
      </c>
      <c r="CK220" s="1">
        <f t="shared" si="287"/>
        <v>0</v>
      </c>
      <c r="CL220" s="1">
        <f t="shared" si="288"/>
        <v>0</v>
      </c>
      <c r="CM220" s="1">
        <f t="shared" si="289"/>
        <v>14.1</v>
      </c>
      <c r="CN220" s="1">
        <f>IF(ISNA(VLOOKUP($CZ220,'Audit Values'!$A$2:$AE$439,2,FALSE)),'Preliminary SO66'!T217,VLOOKUP($CZ220,'Audit Values'!$A$2:$AE$439,20,FALSE))</f>
        <v>0</v>
      </c>
      <c r="CO220" s="1">
        <f t="shared" si="254"/>
        <v>0</v>
      </c>
      <c r="CP220" s="183">
        <v>0</v>
      </c>
      <c r="CQ220" s="1">
        <f t="shared" si="255"/>
        <v>0</v>
      </c>
      <c r="CR220" s="2">
        <f>IF(ISNA(VLOOKUP($CZ220,'Audit Values'!$A$2:$AE$439,2,FALSE)),'Preliminary SO66'!V217,VLOOKUP($CZ220,'Audit Values'!$A$2:$AE$439,22,FALSE))</f>
        <v>0</v>
      </c>
      <c r="CS220" s="1">
        <f t="shared" si="256"/>
        <v>0</v>
      </c>
      <c r="CT220" s="2">
        <f>IF(ISNA(VLOOKUP($CZ220,'Audit Values'!$A$2:$AE$439,2,FALSE)),'Preliminary SO66'!W217,VLOOKUP($CZ220,'Audit Values'!$A$2:$AE$439,23,FALSE))</f>
        <v>0</v>
      </c>
      <c r="CU220" s="1">
        <f t="shared" si="296"/>
        <v>0</v>
      </c>
      <c r="CV220" s="1">
        <f t="shared" si="297"/>
        <v>0</v>
      </c>
      <c r="CW220" s="176">
        <v>0</v>
      </c>
      <c r="CX220" s="2">
        <f>IF(CW220&gt;0,Weightings!$M$11*AR220,0)</f>
        <v>0</v>
      </c>
      <c r="CY220" s="2">
        <f t="shared" si="290"/>
        <v>0</v>
      </c>
      <c r="CZ220" s="108" t="s">
        <v>512</v>
      </c>
    </row>
    <row r="221" spans="1:104">
      <c r="A221" s="82">
        <v>432</v>
      </c>
      <c r="B221" s="4" t="s">
        <v>86</v>
      </c>
      <c r="C221" s="4" t="s">
        <v>847</v>
      </c>
      <c r="D221" s="1">
        <v>249.5</v>
      </c>
      <c r="E221" s="1">
        <v>0</v>
      </c>
      <c r="F221" s="1">
        <f t="shared" si="294"/>
        <v>249.5</v>
      </c>
      <c r="G221" s="1">
        <v>250.5</v>
      </c>
      <c r="H221" s="1">
        <v>0</v>
      </c>
      <c r="I221" s="1">
        <f t="shared" si="257"/>
        <v>250.5</v>
      </c>
      <c r="J221" s="1">
        <f t="shared" si="258"/>
        <v>267</v>
      </c>
      <c r="K221" s="1">
        <f>IF(ISNA(VLOOKUP($CZ221,'Audit Values'!$A$2:$AE$439,2,FALSE)),'Preliminary SO66'!B218,VLOOKUP($CZ221,'Audit Values'!$A$2:$AE$439,31,FALSE))</f>
        <v>267</v>
      </c>
      <c r="L221" s="1">
        <f t="shared" si="259"/>
        <v>267</v>
      </c>
      <c r="M221" s="1">
        <f>IF(ISNA(VLOOKUP($CZ221,'Audit Values'!$A$2:$AE$439,2,FALSE)),'Preliminary SO66'!Z218,VLOOKUP($CZ221,'Audit Values'!$A$2:$AE$439,26,FALSE))</f>
        <v>0</v>
      </c>
      <c r="N221" s="1">
        <f t="shared" si="260"/>
        <v>267</v>
      </c>
      <c r="O221" s="1">
        <f>IF(ISNA(VLOOKUP($CZ221,'Audit Values'!$A$2:$AE$439,2,FALSE)),'Preliminary SO66'!C218,IF(VLOOKUP($CZ221,'Audit Values'!$A$2:$AE$439,28,FALSE)="",VLOOKUP($CZ221,'Audit Values'!$A$2:$AE$439,3,FALSE),VLOOKUP($CZ221,'Audit Values'!$A$2:$AE$439,28,FALSE)))</f>
        <v>0</v>
      </c>
      <c r="P221" s="109">
        <f t="shared" si="261"/>
        <v>267</v>
      </c>
      <c r="Q221" s="110">
        <f t="shared" si="262"/>
        <v>267</v>
      </c>
      <c r="R221" s="111">
        <f t="shared" si="263"/>
        <v>267</v>
      </c>
      <c r="S221" s="1">
        <f t="shared" si="264"/>
        <v>267</v>
      </c>
      <c r="T221" s="1">
        <f t="shared" si="293"/>
        <v>0</v>
      </c>
      <c r="U221" s="1">
        <f t="shared" si="265"/>
        <v>152.6</v>
      </c>
      <c r="V221" s="1">
        <f t="shared" si="251"/>
        <v>152.6</v>
      </c>
      <c r="W221" s="1">
        <f t="shared" si="252"/>
        <v>0</v>
      </c>
      <c r="X221" s="1">
        <f>IF(ISNA(VLOOKUP($CZ221,'Audit Values'!$A$2:$AE$439,2,FALSE)),'Preliminary SO66'!D218,VLOOKUP($CZ221,'Audit Values'!$A$2:$AE$439,4,FALSE))</f>
        <v>102.5</v>
      </c>
      <c r="Y221" s="1">
        <f>ROUND((X221/6)*Weightings!$M$6,1)</f>
        <v>8.5</v>
      </c>
      <c r="Z221" s="1">
        <f>IF(ISNA(VLOOKUP($CZ221,'Audit Values'!$A$2:$AE$439,2,FALSE)),'Preliminary SO66'!F218,VLOOKUP($CZ221,'Audit Values'!$A$2:$AE$439,6,FALSE))</f>
        <v>0</v>
      </c>
      <c r="AA221" s="1">
        <f>ROUND((Z221/6)*Weightings!$M$7,1)</f>
        <v>0</v>
      </c>
      <c r="AB221" s="2">
        <f>IF(ISNA(VLOOKUP($CZ221,'Audit Values'!$A$2:$AE$439,2,FALSE)),'Preliminary SO66'!H218,VLOOKUP($CZ221,'Audit Values'!$A$2:$AE$439,8,FALSE))</f>
        <v>51</v>
      </c>
      <c r="AC221" s="1">
        <f>ROUND(AB221*Weightings!$M$8,1)</f>
        <v>23.3</v>
      </c>
      <c r="AD221" s="1">
        <f t="shared" si="249"/>
        <v>0</v>
      </c>
      <c r="AE221" s="185">
        <v>13</v>
      </c>
      <c r="AF221" s="1">
        <f>AE221*Weightings!$M$9</f>
        <v>0.6</v>
      </c>
      <c r="AG221" s="1">
        <f>IF(ISNA(VLOOKUP($CZ221,'Audit Values'!$A$2:$AE$439,2,FALSE)),'Preliminary SO66'!L218,VLOOKUP($CZ221,'Audit Values'!$A$2:$AE$439,12,FALSE))</f>
        <v>0</v>
      </c>
      <c r="AH221" s="1">
        <f>ROUND(AG221*Weightings!$M$10,1)</f>
        <v>0</v>
      </c>
      <c r="AI221" s="1">
        <f>IF(ISNA(VLOOKUP($CZ221,'Audit Values'!$A$2:$AE$439,2,FALSE)),'Preliminary SO66'!O218,VLOOKUP($CZ221,'Audit Values'!$A$2:$AE$439,15,FALSE))</f>
        <v>72</v>
      </c>
      <c r="AJ221" s="1">
        <f t="shared" si="266"/>
        <v>23.6</v>
      </c>
      <c r="AK221" s="1">
        <f>CC221/Weightings!$M$5</f>
        <v>0</v>
      </c>
      <c r="AL221" s="1">
        <f>CD221/Weightings!$M$5</f>
        <v>0</v>
      </c>
      <c r="AM221" s="1">
        <f>CH221/Weightings!$M$5</f>
        <v>0</v>
      </c>
      <c r="AN221" s="1">
        <f t="shared" si="253"/>
        <v>0</v>
      </c>
      <c r="AO221" s="1">
        <f>IF(ISNA(VLOOKUP($CZ221,'Audit Values'!$A$2:$AE$439,2,FALSE)),'Preliminary SO66'!X218,VLOOKUP($CZ221,'Audit Values'!$A$2:$AE$439,24,FALSE))</f>
        <v>0</v>
      </c>
      <c r="AP221" s="188">
        <v>196286</v>
      </c>
      <c r="AQ221" s="113">
        <f>AP221/Weightings!$M$5</f>
        <v>51.1</v>
      </c>
      <c r="AR221" s="113">
        <f t="shared" si="267"/>
        <v>475.6</v>
      </c>
      <c r="AS221" s="1">
        <f t="shared" si="268"/>
        <v>526.70000000000005</v>
      </c>
      <c r="AT221" s="1">
        <f t="shared" si="269"/>
        <v>526.70000000000005</v>
      </c>
      <c r="AU221" s="2">
        <f t="shared" si="283"/>
        <v>0</v>
      </c>
      <c r="AV221" s="82">
        <f>IF(ISNA(VLOOKUP($CZ221,'Audit Values'!$A$2:$AC$360,2,FALSE)),"",IF(AND(Weightings!H221&gt;0,VLOOKUP($CZ221,'Audit Values'!$A$2:$AC$360,29,FALSE)&lt;Weightings!H221),Weightings!H221,VLOOKUP($CZ221,'Audit Values'!$A$2:$AC$360,29,FALSE)))</f>
        <v>25</v>
      </c>
      <c r="AW221" s="82" t="str">
        <f>IF(ISNA(VLOOKUP($CZ221,'Audit Values'!$A$2:$AD$360,2,FALSE)),"",VLOOKUP($CZ221,'Audit Values'!$A$2:$AD$360,30,FALSE))</f>
        <v>A</v>
      </c>
      <c r="AX221" s="82" t="str">
        <f>IF(Weightings!G221="","",IF(Weightings!I221="Pending","PX","R"))</f>
        <v>R</v>
      </c>
      <c r="AY221" s="114">
        <f>AR221*Weightings!$M$5+AU221</f>
        <v>1825353</v>
      </c>
      <c r="AZ221" s="2">
        <f>AT221*Weightings!$M$5+AU221</f>
        <v>2021475</v>
      </c>
      <c r="BA221" s="2">
        <f>IF(Weightings!G221&gt;0,Weightings!G221,'Preliminary SO66'!AB218)</f>
        <v>2039513</v>
      </c>
      <c r="BB221" s="2">
        <f t="shared" si="270"/>
        <v>2021475</v>
      </c>
      <c r="BC221" s="124"/>
      <c r="BD221" s="124">
        <f>Weightings!E221</f>
        <v>0</v>
      </c>
      <c r="BE221" s="124">
        <f>Weightings!F221</f>
        <v>0</v>
      </c>
      <c r="BF221" s="2">
        <f t="shared" si="271"/>
        <v>0</v>
      </c>
      <c r="BG221" s="2">
        <f t="shared" si="272"/>
        <v>2021475</v>
      </c>
      <c r="BH221" s="2">
        <f>MAX(ROUND(((AR221-AO221)*4433)+AP221,0),ROUND(((AR221-AO221)*4433)+Weightings!B221,0))</f>
        <v>2379002</v>
      </c>
      <c r="BI221" s="174">
        <v>0.3</v>
      </c>
      <c r="BJ221" s="2">
        <f t="shared" si="295"/>
        <v>713701</v>
      </c>
      <c r="BK221" s="173">
        <v>710376</v>
      </c>
      <c r="BL221" s="2">
        <f t="shared" si="246"/>
        <v>710376</v>
      </c>
      <c r="BM221" s="3">
        <f t="shared" si="284"/>
        <v>0.29859999999999998</v>
      </c>
      <c r="BN221" s="1">
        <f t="shared" si="273"/>
        <v>0</v>
      </c>
      <c r="BO221" s="4" t="b">
        <f t="shared" si="274"/>
        <v>1</v>
      </c>
      <c r="BP221" s="5">
        <f t="shared" si="275"/>
        <v>1612.385</v>
      </c>
      <c r="BQ221" s="6">
        <f t="shared" si="247"/>
        <v>0.57165999999999995</v>
      </c>
      <c r="BR221" s="4">
        <f t="shared" si="276"/>
        <v>152.6</v>
      </c>
      <c r="BS221" s="4" t="b">
        <f t="shared" si="277"/>
        <v>0</v>
      </c>
      <c r="BT221" s="4">
        <f t="shared" si="278"/>
        <v>0</v>
      </c>
      <c r="BU221" s="6">
        <f t="shared" si="248"/>
        <v>0</v>
      </c>
      <c r="BV221" s="1">
        <f t="shared" si="279"/>
        <v>0</v>
      </c>
      <c r="BW221" s="1">
        <f t="shared" si="280"/>
        <v>0</v>
      </c>
      <c r="BX221" s="116">
        <v>193.3</v>
      </c>
      <c r="BY221" s="7">
        <f t="shared" si="285"/>
        <v>0.37</v>
      </c>
      <c r="BZ221" s="7">
        <f>IF(ROUND((Weightings!$P$5*BY221^Weightings!$P$6*Weightings!$P$8 ),2)&lt;Weightings!$P$7,Weightings!$P$7,ROUND((Weightings!$P$5*BY221^Weightings!$P$6*Weightings!$P$8 ),2))</f>
        <v>1257.3800000000001</v>
      </c>
      <c r="CA221" s="8">
        <f>ROUND(BZ221/Weightings!$M$5,4)</f>
        <v>0.3276</v>
      </c>
      <c r="CB221" s="1">
        <f t="shared" si="286"/>
        <v>23.6</v>
      </c>
      <c r="CC221" s="173">
        <v>0</v>
      </c>
      <c r="CD221" s="173">
        <v>0</v>
      </c>
      <c r="CE221" s="173">
        <v>0</v>
      </c>
      <c r="CF221" s="177">
        <v>0</v>
      </c>
      <c r="CG221" s="2">
        <f>AS221*Weightings!$M$5*CF221</f>
        <v>0</v>
      </c>
      <c r="CH221" s="2">
        <f t="shared" si="250"/>
        <v>0</v>
      </c>
      <c r="CI221" s="117">
        <f t="shared" si="281"/>
        <v>0.191</v>
      </c>
      <c r="CJ221" s="4">
        <f t="shared" si="282"/>
        <v>1.4</v>
      </c>
      <c r="CK221" s="1">
        <f t="shared" si="287"/>
        <v>0</v>
      </c>
      <c r="CL221" s="1">
        <f t="shared" si="288"/>
        <v>0</v>
      </c>
      <c r="CM221" s="1">
        <f t="shared" si="289"/>
        <v>0</v>
      </c>
      <c r="CN221" s="1">
        <f>IF(ISNA(VLOOKUP($CZ221,'Audit Values'!$A$2:$AE$439,2,FALSE)),'Preliminary SO66'!T218,VLOOKUP($CZ221,'Audit Values'!$A$2:$AE$439,20,FALSE))</f>
        <v>0</v>
      </c>
      <c r="CO221" s="1">
        <f t="shared" si="254"/>
        <v>0</v>
      </c>
      <c r="CP221" s="183">
        <v>0</v>
      </c>
      <c r="CQ221" s="1">
        <f t="shared" si="255"/>
        <v>0</v>
      </c>
      <c r="CR221" s="2">
        <f>IF(ISNA(VLOOKUP($CZ221,'Audit Values'!$A$2:$AE$439,2,FALSE)),'Preliminary SO66'!V218,VLOOKUP($CZ221,'Audit Values'!$A$2:$AE$439,22,FALSE))</f>
        <v>0</v>
      </c>
      <c r="CS221" s="1">
        <f t="shared" si="256"/>
        <v>0</v>
      </c>
      <c r="CT221" s="2">
        <f>IF(ISNA(VLOOKUP($CZ221,'Audit Values'!$A$2:$AE$439,2,FALSE)),'Preliminary SO66'!W218,VLOOKUP($CZ221,'Audit Values'!$A$2:$AE$439,23,FALSE))</f>
        <v>0</v>
      </c>
      <c r="CU221" s="1">
        <f t="shared" si="296"/>
        <v>0</v>
      </c>
      <c r="CV221" s="1">
        <f t="shared" si="297"/>
        <v>0</v>
      </c>
      <c r="CW221" s="176">
        <v>0</v>
      </c>
      <c r="CX221" s="2">
        <f>IF(CW221&gt;0,Weightings!$M$11*AR221,0)</f>
        <v>0</v>
      </c>
      <c r="CY221" s="2">
        <f t="shared" si="290"/>
        <v>0</v>
      </c>
      <c r="CZ221" s="108" t="s">
        <v>513</v>
      </c>
    </row>
    <row r="222" spans="1:104">
      <c r="A222" s="82">
        <v>434</v>
      </c>
      <c r="B222" s="4" t="s">
        <v>98</v>
      </c>
      <c r="C222" s="4" t="s">
        <v>848</v>
      </c>
      <c r="D222" s="1">
        <v>1044</v>
      </c>
      <c r="E222" s="1">
        <v>0</v>
      </c>
      <c r="F222" s="1">
        <f t="shared" si="294"/>
        <v>1044</v>
      </c>
      <c r="G222" s="1">
        <v>1013.1</v>
      </c>
      <c r="H222" s="1">
        <v>0</v>
      </c>
      <c r="I222" s="1">
        <f t="shared" si="257"/>
        <v>1013.1</v>
      </c>
      <c r="J222" s="1">
        <f t="shared" si="258"/>
        <v>975.2</v>
      </c>
      <c r="K222" s="1">
        <f>IF(ISNA(VLOOKUP($CZ222,'Audit Values'!$A$2:$AE$439,2,FALSE)),'Preliminary SO66'!B219,VLOOKUP($CZ222,'Audit Values'!$A$2:$AE$439,31,FALSE))</f>
        <v>968.5</v>
      </c>
      <c r="L222" s="1">
        <f t="shared" si="259"/>
        <v>1013.1</v>
      </c>
      <c r="M222" s="1">
        <f>IF(ISNA(VLOOKUP($CZ222,'Audit Values'!$A$2:$AE$439,2,FALSE)),'Preliminary SO66'!Z219,VLOOKUP($CZ222,'Audit Values'!$A$2:$AE$439,26,FALSE))</f>
        <v>0</v>
      </c>
      <c r="N222" s="1">
        <f t="shared" si="260"/>
        <v>1013.1</v>
      </c>
      <c r="O222" s="1">
        <f>IF(ISNA(VLOOKUP($CZ222,'Audit Values'!$A$2:$AE$439,2,FALSE)),'Preliminary SO66'!C219,IF(VLOOKUP($CZ222,'Audit Values'!$A$2:$AE$439,28,FALSE)="",VLOOKUP($CZ222,'Audit Values'!$A$2:$AE$439,3,FALSE),VLOOKUP($CZ222,'Audit Values'!$A$2:$AE$439,28,FALSE)))</f>
        <v>10.5</v>
      </c>
      <c r="P222" s="109">
        <f t="shared" si="261"/>
        <v>979</v>
      </c>
      <c r="Q222" s="110">
        <f t="shared" si="262"/>
        <v>985.7</v>
      </c>
      <c r="R222" s="111">
        <f t="shared" si="263"/>
        <v>985.7</v>
      </c>
      <c r="S222" s="1">
        <f t="shared" si="264"/>
        <v>1023.6</v>
      </c>
      <c r="T222" s="1">
        <f t="shared" si="293"/>
        <v>6.7</v>
      </c>
      <c r="U222" s="1">
        <f t="shared" si="265"/>
        <v>244</v>
      </c>
      <c r="V222" s="1">
        <f t="shared" si="251"/>
        <v>244</v>
      </c>
      <c r="W222" s="1">
        <f t="shared" si="252"/>
        <v>0</v>
      </c>
      <c r="X222" s="1">
        <f>IF(ISNA(VLOOKUP($CZ222,'Audit Values'!$A$2:$AE$439,2,FALSE)),'Preliminary SO66'!D219,VLOOKUP($CZ222,'Audit Values'!$A$2:$AE$439,4,FALSE))</f>
        <v>0</v>
      </c>
      <c r="Y222" s="1">
        <f>ROUND((X222/6)*Weightings!$M$6,1)</f>
        <v>0</v>
      </c>
      <c r="Z222" s="1">
        <f>IF(ISNA(VLOOKUP($CZ222,'Audit Values'!$A$2:$AE$439,2,FALSE)),'Preliminary SO66'!F219,VLOOKUP($CZ222,'Audit Values'!$A$2:$AE$439,6,FALSE))</f>
        <v>0</v>
      </c>
      <c r="AA222" s="1">
        <f>ROUND((Z222/6)*Weightings!$M$7,1)</f>
        <v>0</v>
      </c>
      <c r="AB222" s="2">
        <f>IF(ISNA(VLOOKUP($CZ222,'Audit Values'!$A$2:$AE$439,2,FALSE)),'Preliminary SO66'!H219,VLOOKUP($CZ222,'Audit Values'!$A$2:$AE$439,8,FALSE))</f>
        <v>378</v>
      </c>
      <c r="AC222" s="1">
        <f>ROUND(AB222*Weightings!$M$8,1)</f>
        <v>172.4</v>
      </c>
      <c r="AD222" s="1">
        <f t="shared" si="249"/>
        <v>5</v>
      </c>
      <c r="AE222" s="185">
        <v>130</v>
      </c>
      <c r="AF222" s="1">
        <f>AE222*Weightings!$M$9</f>
        <v>6</v>
      </c>
      <c r="AG222" s="1">
        <f>IF(ISNA(VLOOKUP($CZ222,'Audit Values'!$A$2:$AE$439,2,FALSE)),'Preliminary SO66'!L219,VLOOKUP($CZ222,'Audit Values'!$A$2:$AE$439,12,FALSE))</f>
        <v>0</v>
      </c>
      <c r="AH222" s="1">
        <f>ROUND(AG222*Weightings!$M$10,1)</f>
        <v>0</v>
      </c>
      <c r="AI222" s="1">
        <f>IF(ISNA(VLOOKUP($CZ222,'Audit Values'!$A$2:$AE$439,2,FALSE)),'Preliminary SO66'!O219,VLOOKUP($CZ222,'Audit Values'!$A$2:$AE$439,15,FALSE))</f>
        <v>751</v>
      </c>
      <c r="AJ222" s="1">
        <f t="shared" si="266"/>
        <v>145.19999999999999</v>
      </c>
      <c r="AK222" s="1">
        <f>CC222/Weightings!$M$5</f>
        <v>0</v>
      </c>
      <c r="AL222" s="1">
        <f>CD222/Weightings!$M$5</f>
        <v>0</v>
      </c>
      <c r="AM222" s="1">
        <f>CH222/Weightings!$M$5</f>
        <v>0</v>
      </c>
      <c r="AN222" s="1">
        <f t="shared" si="253"/>
        <v>7</v>
      </c>
      <c r="AO222" s="1">
        <f>IF(ISNA(VLOOKUP($CZ222,'Audit Values'!$A$2:$AE$439,2,FALSE)),'Preliminary SO66'!X219,VLOOKUP($CZ222,'Audit Values'!$A$2:$AE$439,24,FALSE))</f>
        <v>0</v>
      </c>
      <c r="AP222" s="188">
        <v>1284043</v>
      </c>
      <c r="AQ222" s="113">
        <f>AP222/Weightings!$M$5</f>
        <v>334.6</v>
      </c>
      <c r="AR222" s="113">
        <f t="shared" si="267"/>
        <v>1603.2</v>
      </c>
      <c r="AS222" s="1">
        <f t="shared" si="268"/>
        <v>1937.8</v>
      </c>
      <c r="AT222" s="1">
        <f t="shared" si="269"/>
        <v>1937.8</v>
      </c>
      <c r="AU222" s="2">
        <f t="shared" si="283"/>
        <v>0</v>
      </c>
      <c r="AV222" s="82">
        <f>IF(ISNA(VLOOKUP($CZ222,'Audit Values'!$A$2:$AC$360,2,FALSE)),"",IF(AND(Weightings!H222&gt;0,VLOOKUP($CZ222,'Audit Values'!$A$2:$AC$360,29,FALSE)&lt;Weightings!H222),Weightings!H222,VLOOKUP($CZ222,'Audit Values'!$A$2:$AC$360,29,FALSE)))</f>
        <v>24</v>
      </c>
      <c r="AW222" s="82" t="str">
        <f>IF(ISNA(VLOOKUP($CZ222,'Audit Values'!$A$2:$AD$360,2,FALSE)),"",VLOOKUP($CZ222,'Audit Values'!$A$2:$AD$360,30,FALSE))</f>
        <v>A</v>
      </c>
      <c r="AX222" s="82" t="str">
        <f>IF(Weightings!G222="","",IF(Weightings!I222="Pending","PX","R"))</f>
        <v/>
      </c>
      <c r="AY222" s="114">
        <f>AR222*Weightings!$M$5+AU222</f>
        <v>6153082</v>
      </c>
      <c r="AZ222" s="2">
        <f>AT222*Weightings!$M$5+AU222</f>
        <v>7437276</v>
      </c>
      <c r="BA222" s="2">
        <f>IF(Weightings!G222&gt;0,Weightings!G222,'Preliminary SO66'!AB219)</f>
        <v>7991867</v>
      </c>
      <c r="BB222" s="2">
        <f t="shared" si="270"/>
        <v>7437276</v>
      </c>
      <c r="BC222" s="124"/>
      <c r="BD222" s="124">
        <f>Weightings!E222</f>
        <v>-2935</v>
      </c>
      <c r="BE222" s="124">
        <f>Weightings!F222</f>
        <v>0</v>
      </c>
      <c r="BF222" s="2">
        <f t="shared" si="271"/>
        <v>-2935</v>
      </c>
      <c r="BG222" s="2">
        <f t="shared" si="272"/>
        <v>7434341</v>
      </c>
      <c r="BH222" s="2">
        <f>MAX(ROUND(((AR222-AO222)*4433)+AP222,0),ROUND(((AR222-AO222)*4433)+Weightings!B222,0))</f>
        <v>8518781</v>
      </c>
      <c r="BI222" s="174">
        <v>0.3</v>
      </c>
      <c r="BJ222" s="2">
        <f t="shared" ref="BJ222:BJ280" si="298">BH222*BI222</f>
        <v>2555634</v>
      </c>
      <c r="BK222" s="173">
        <v>2691244</v>
      </c>
      <c r="BL222" s="2">
        <f t="shared" si="246"/>
        <v>2555634</v>
      </c>
      <c r="BM222" s="3">
        <f t="shared" si="284"/>
        <v>0.3</v>
      </c>
      <c r="BN222" s="1">
        <f t="shared" si="273"/>
        <v>0</v>
      </c>
      <c r="BO222" s="4" t="b">
        <f t="shared" si="274"/>
        <v>0</v>
      </c>
      <c r="BP222" s="5">
        <f t="shared" si="275"/>
        <v>0</v>
      </c>
      <c r="BQ222" s="6">
        <f t="shared" si="247"/>
        <v>0</v>
      </c>
      <c r="BR222" s="4">
        <f t="shared" si="276"/>
        <v>0</v>
      </c>
      <c r="BS222" s="4" t="b">
        <f t="shared" si="277"/>
        <v>1</v>
      </c>
      <c r="BT222" s="4">
        <f t="shared" si="278"/>
        <v>895.45500000000004</v>
      </c>
      <c r="BU222" s="6">
        <f t="shared" si="248"/>
        <v>0.238344</v>
      </c>
      <c r="BV222" s="1">
        <f t="shared" si="279"/>
        <v>244</v>
      </c>
      <c r="BW222" s="1">
        <f t="shared" si="280"/>
        <v>0</v>
      </c>
      <c r="BX222" s="116">
        <v>201</v>
      </c>
      <c r="BY222" s="7">
        <f t="shared" si="285"/>
        <v>3.74</v>
      </c>
      <c r="BZ222" s="7">
        <f>IF(ROUND((Weightings!$P$5*BY222^Weightings!$P$6*Weightings!$P$8 ),2)&lt;Weightings!$P$7,Weightings!$P$7,ROUND((Weightings!$P$5*BY222^Weightings!$P$6*Weightings!$P$8 ),2))</f>
        <v>741.82</v>
      </c>
      <c r="CA222" s="8">
        <f>ROUND(BZ222/Weightings!$M$5,4)</f>
        <v>0.1933</v>
      </c>
      <c r="CB222" s="1">
        <f t="shared" si="286"/>
        <v>145.19999999999999</v>
      </c>
      <c r="CC222" s="173">
        <v>0</v>
      </c>
      <c r="CD222" s="173">
        <v>0</v>
      </c>
      <c r="CE222" s="173">
        <v>0</v>
      </c>
      <c r="CF222" s="177">
        <v>0</v>
      </c>
      <c r="CG222" s="2">
        <f>AS222*Weightings!$M$5*CF222</f>
        <v>0</v>
      </c>
      <c r="CH222" s="2">
        <f t="shared" si="250"/>
        <v>0</v>
      </c>
      <c r="CI222" s="117">
        <f t="shared" si="281"/>
        <v>0.36899999999999999</v>
      </c>
      <c r="CJ222" s="4">
        <f t="shared" si="282"/>
        <v>5.0999999999999996</v>
      </c>
      <c r="CK222" s="1">
        <f t="shared" si="287"/>
        <v>0</v>
      </c>
      <c r="CL222" s="1">
        <f t="shared" si="288"/>
        <v>0</v>
      </c>
      <c r="CM222" s="1">
        <f t="shared" si="289"/>
        <v>5</v>
      </c>
      <c r="CN222" s="1">
        <f>IF(ISNA(VLOOKUP($CZ222,'Audit Values'!$A$2:$AE$439,2,FALSE)),'Preliminary SO66'!T219,VLOOKUP($CZ222,'Audit Values'!$A$2:$AE$439,20,FALSE))</f>
        <v>6.7</v>
      </c>
      <c r="CO222" s="1">
        <f t="shared" si="254"/>
        <v>7</v>
      </c>
      <c r="CP222" s="183">
        <v>0</v>
      </c>
      <c r="CQ222" s="1">
        <f t="shared" si="255"/>
        <v>0</v>
      </c>
      <c r="CR222" s="2">
        <f>IF(ISNA(VLOOKUP($CZ222,'Audit Values'!$A$2:$AE$439,2,FALSE)),'Preliminary SO66'!V219,VLOOKUP($CZ222,'Audit Values'!$A$2:$AE$439,22,FALSE))</f>
        <v>0</v>
      </c>
      <c r="CS222" s="1">
        <f t="shared" si="256"/>
        <v>0</v>
      </c>
      <c r="CT222" s="2">
        <f>IF(ISNA(VLOOKUP($CZ222,'Audit Values'!$A$2:$AE$439,2,FALSE)),'Preliminary SO66'!W219,VLOOKUP($CZ222,'Audit Values'!$A$2:$AE$439,23,FALSE))</f>
        <v>0</v>
      </c>
      <c r="CU222" s="1">
        <f t="shared" ref="CU222:CU228" si="299">CT222*0.08</f>
        <v>0</v>
      </c>
      <c r="CV222" s="1">
        <f t="shared" ref="CV222:CV228" si="300">CO222+CQ222+CS222+CU222</f>
        <v>7</v>
      </c>
      <c r="CW222" s="176">
        <v>0</v>
      </c>
      <c r="CX222" s="2">
        <f>IF(CW222&gt;0,Weightings!$M$11*AR222,0)</f>
        <v>0</v>
      </c>
      <c r="CY222" s="2">
        <f t="shared" si="290"/>
        <v>0</v>
      </c>
      <c r="CZ222" s="108" t="s">
        <v>514</v>
      </c>
    </row>
    <row r="223" spans="1:104">
      <c r="A223" s="82">
        <v>435</v>
      </c>
      <c r="B223" s="4" t="s">
        <v>89</v>
      </c>
      <c r="C223" s="4" t="s">
        <v>849</v>
      </c>
      <c r="D223" s="1">
        <v>1490.9</v>
      </c>
      <c r="E223" s="1">
        <v>0</v>
      </c>
      <c r="F223" s="1">
        <f t="shared" si="294"/>
        <v>1490.9</v>
      </c>
      <c r="G223" s="1">
        <v>1479.8</v>
      </c>
      <c r="H223" s="1">
        <v>21.5</v>
      </c>
      <c r="I223" s="1">
        <f t="shared" si="257"/>
        <v>1501.3</v>
      </c>
      <c r="J223" s="1">
        <f t="shared" si="258"/>
        <v>1539.8</v>
      </c>
      <c r="K223" s="1">
        <f>IF(ISNA(VLOOKUP($CZ223,'Audit Values'!$A$2:$AE$439,2,FALSE)),'Preliminary SO66'!B220,VLOOKUP($CZ223,'Audit Values'!$A$2:$AE$439,31,FALSE))</f>
        <v>1524</v>
      </c>
      <c r="L223" s="1">
        <f t="shared" si="259"/>
        <v>1524</v>
      </c>
      <c r="M223" s="1">
        <f>IF(ISNA(VLOOKUP($CZ223,'Audit Values'!$A$2:$AE$439,2,FALSE)),'Preliminary SO66'!Z220,VLOOKUP($CZ223,'Audit Values'!$A$2:$AE$439,26,FALSE))</f>
        <v>0</v>
      </c>
      <c r="N223" s="1">
        <f t="shared" si="260"/>
        <v>1524</v>
      </c>
      <c r="O223" s="1">
        <f>IF(ISNA(VLOOKUP($CZ223,'Audit Values'!$A$2:$AE$439,2,FALSE)),'Preliminary SO66'!C220,IF(VLOOKUP($CZ223,'Audit Values'!$A$2:$AE$439,28,FALSE)="",VLOOKUP($CZ223,'Audit Values'!$A$2:$AE$439,3,FALSE),VLOOKUP($CZ223,'Audit Values'!$A$2:$AE$439,28,FALSE)))</f>
        <v>0</v>
      </c>
      <c r="P223" s="109">
        <f t="shared" si="261"/>
        <v>1524</v>
      </c>
      <c r="Q223" s="110">
        <f t="shared" si="262"/>
        <v>1539.8</v>
      </c>
      <c r="R223" s="111">
        <f t="shared" si="263"/>
        <v>1539.8</v>
      </c>
      <c r="S223" s="1">
        <f t="shared" si="264"/>
        <v>1524</v>
      </c>
      <c r="T223" s="1">
        <f t="shared" si="293"/>
        <v>15.8</v>
      </c>
      <c r="U223" s="1">
        <f t="shared" si="265"/>
        <v>104.1</v>
      </c>
      <c r="V223" s="1">
        <f t="shared" si="251"/>
        <v>104.1</v>
      </c>
      <c r="W223" s="1">
        <f t="shared" si="252"/>
        <v>0</v>
      </c>
      <c r="X223" s="1">
        <f>IF(ISNA(VLOOKUP($CZ223,'Audit Values'!$A$2:$AE$439,2,FALSE)),'Preliminary SO66'!D220,VLOOKUP($CZ223,'Audit Values'!$A$2:$AE$439,4,FALSE))</f>
        <v>624.9</v>
      </c>
      <c r="Y223" s="1">
        <f>ROUND((X223/6)*Weightings!$M$6,1)</f>
        <v>52.1</v>
      </c>
      <c r="Z223" s="1">
        <f>IF(ISNA(VLOOKUP($CZ223,'Audit Values'!$A$2:$AE$439,2,FALSE)),'Preliminary SO66'!F220,VLOOKUP($CZ223,'Audit Values'!$A$2:$AE$439,6,FALSE))</f>
        <v>28.4</v>
      </c>
      <c r="AA223" s="1">
        <f>ROUND((Z223/6)*Weightings!$M$7,1)</f>
        <v>1.9</v>
      </c>
      <c r="AB223" s="2">
        <f>IF(ISNA(VLOOKUP($CZ223,'Audit Values'!$A$2:$AE$439,2,FALSE)),'Preliminary SO66'!H220,VLOOKUP($CZ223,'Audit Values'!$A$2:$AE$439,8,FALSE))</f>
        <v>532</v>
      </c>
      <c r="AC223" s="1">
        <f>ROUND(AB223*Weightings!$M$8,1)</f>
        <v>242.6</v>
      </c>
      <c r="AD223" s="1">
        <f t="shared" si="249"/>
        <v>0</v>
      </c>
      <c r="AE223" s="185">
        <v>125</v>
      </c>
      <c r="AF223" s="1">
        <f>AE223*Weightings!$M$9</f>
        <v>5.8</v>
      </c>
      <c r="AG223" s="1">
        <f>IF(ISNA(VLOOKUP($CZ223,'Audit Values'!$A$2:$AE$439,2,FALSE)),'Preliminary SO66'!L220,VLOOKUP($CZ223,'Audit Values'!$A$2:$AE$439,12,FALSE))</f>
        <v>0</v>
      </c>
      <c r="AH223" s="1">
        <f>ROUND(AG223*Weightings!$M$10,1)</f>
        <v>0</v>
      </c>
      <c r="AI223" s="1">
        <f>IF(ISNA(VLOOKUP($CZ223,'Audit Values'!$A$2:$AE$439,2,FALSE)),'Preliminary SO66'!O220,VLOOKUP($CZ223,'Audit Values'!$A$2:$AE$439,15,FALSE))</f>
        <v>216.6</v>
      </c>
      <c r="AJ223" s="1">
        <f t="shared" si="266"/>
        <v>47.6</v>
      </c>
      <c r="AK223" s="1">
        <f>CC223/Weightings!$M$5</f>
        <v>0</v>
      </c>
      <c r="AL223" s="1">
        <f>CD223/Weightings!$M$5</f>
        <v>0</v>
      </c>
      <c r="AM223" s="1">
        <f>CH223/Weightings!$M$5</f>
        <v>0</v>
      </c>
      <c r="AN223" s="1">
        <f t="shared" si="253"/>
        <v>16.600000000000001</v>
      </c>
      <c r="AO223" s="1">
        <f>IF(ISNA(VLOOKUP($CZ223,'Audit Values'!$A$2:$AE$439,2,FALSE)),'Preliminary SO66'!X220,VLOOKUP($CZ223,'Audit Values'!$A$2:$AE$439,24,FALSE))</f>
        <v>0</v>
      </c>
      <c r="AP223" s="188">
        <v>1370140</v>
      </c>
      <c r="AQ223" s="113">
        <f>AP223/Weightings!$M$5</f>
        <v>357</v>
      </c>
      <c r="AR223" s="113">
        <f t="shared" si="267"/>
        <v>1994.7</v>
      </c>
      <c r="AS223" s="1">
        <f t="shared" si="268"/>
        <v>2351.6999999999998</v>
      </c>
      <c r="AT223" s="1">
        <f t="shared" si="269"/>
        <v>2351.6999999999998</v>
      </c>
      <c r="AU223" s="2">
        <f t="shared" si="283"/>
        <v>0</v>
      </c>
      <c r="AV223" s="142">
        <f>IF(ISNA(VLOOKUP($CZ223,'Audit Values'!$A$2:$AC$360,2,FALSE)),"",IF(AND(Weightings!H223&gt;0,VLOOKUP($CZ223,'Audit Values'!$A$2:$AC$360,29,FALSE)&lt;Weightings!H223),Weightings!H223,VLOOKUP($CZ223,'Audit Values'!$A$2:$AC$360,29,FALSE)))</f>
        <v>15</v>
      </c>
      <c r="AW223" s="142" t="str">
        <f>IF(ISNA(VLOOKUP($CZ223,'Audit Values'!$A$2:$AD$360,2,FALSE)),"",VLOOKUP($CZ223,'Audit Values'!$A$2:$AD$360,30,FALSE))</f>
        <v>A</v>
      </c>
      <c r="AX223" s="159" t="str">
        <f>IF(Weightings!G223="","",IF(Weightings!I223="Pending","PX","R"))</f>
        <v/>
      </c>
      <c r="AY223" s="114">
        <f>AR223*Weightings!$M$5+AU223</f>
        <v>7655659</v>
      </c>
      <c r="AZ223" s="2">
        <f>AT223*Weightings!$M$5+AU223</f>
        <v>9025825</v>
      </c>
      <c r="BA223" s="2">
        <f>IF(Weightings!G223&gt;0,Weightings!G223,'Preliminary SO66'!AB220)</f>
        <v>9428895</v>
      </c>
      <c r="BB223" s="2">
        <f t="shared" si="270"/>
        <v>9025825</v>
      </c>
      <c r="BC223" s="124"/>
      <c r="BD223" s="124">
        <f>Weightings!E223</f>
        <v>0</v>
      </c>
      <c r="BE223" s="124">
        <f>Weightings!F223</f>
        <v>0</v>
      </c>
      <c r="BF223" s="2">
        <f t="shared" si="271"/>
        <v>0</v>
      </c>
      <c r="BG223" s="2">
        <f t="shared" si="272"/>
        <v>9025825</v>
      </c>
      <c r="BH223" s="2">
        <f>MAX(ROUND(((AR223-AO223)*4433)+AP223,0),ROUND(((AR223-AO223)*4433)+Weightings!B223,0))</f>
        <v>10236040</v>
      </c>
      <c r="BI223" s="174">
        <v>0.3</v>
      </c>
      <c r="BJ223" s="2">
        <f t="shared" si="298"/>
        <v>3070812</v>
      </c>
      <c r="BK223" s="173">
        <v>3058439</v>
      </c>
      <c r="BL223" s="2">
        <f t="shared" si="246"/>
        <v>3058439</v>
      </c>
      <c r="BM223" s="3">
        <f t="shared" si="284"/>
        <v>0.29880000000000001</v>
      </c>
      <c r="BN223" s="1">
        <f t="shared" si="273"/>
        <v>0</v>
      </c>
      <c r="BO223" s="4" t="b">
        <f t="shared" si="274"/>
        <v>0</v>
      </c>
      <c r="BP223" s="5">
        <f t="shared" si="275"/>
        <v>0</v>
      </c>
      <c r="BQ223" s="6">
        <f t="shared" si="247"/>
        <v>0</v>
      </c>
      <c r="BR223" s="4">
        <f t="shared" si="276"/>
        <v>0</v>
      </c>
      <c r="BS223" s="4" t="b">
        <f t="shared" si="277"/>
        <v>1</v>
      </c>
      <c r="BT223" s="4">
        <f t="shared" si="278"/>
        <v>1514.7</v>
      </c>
      <c r="BU223" s="6">
        <f t="shared" si="248"/>
        <v>6.8334000000000006E-2</v>
      </c>
      <c r="BV223" s="1">
        <f t="shared" si="279"/>
        <v>104.1</v>
      </c>
      <c r="BW223" s="1">
        <f t="shared" si="280"/>
        <v>0</v>
      </c>
      <c r="BX223" s="116">
        <v>101.5</v>
      </c>
      <c r="BY223" s="7">
        <f t="shared" si="285"/>
        <v>2.13</v>
      </c>
      <c r="BZ223" s="7">
        <f>IF(ROUND((Weightings!$P$5*BY223^Weightings!$P$6*Weightings!$P$8 ),2)&lt;Weightings!$P$7,Weightings!$P$7,ROUND((Weightings!$P$5*BY223^Weightings!$P$6*Weightings!$P$8 ),2))</f>
        <v>843.47</v>
      </c>
      <c r="CA223" s="8">
        <f>ROUND(BZ223/Weightings!$M$5,4)</f>
        <v>0.2198</v>
      </c>
      <c r="CB223" s="1">
        <f t="shared" si="286"/>
        <v>47.6</v>
      </c>
      <c r="CC223" s="173">
        <v>0</v>
      </c>
      <c r="CD223" s="173">
        <v>0</v>
      </c>
      <c r="CE223" s="173">
        <v>0</v>
      </c>
      <c r="CF223" s="177">
        <v>0</v>
      </c>
      <c r="CG223" s="2">
        <f>AS223*Weightings!$M$5*CF223</f>
        <v>0</v>
      </c>
      <c r="CH223" s="2">
        <f t="shared" si="250"/>
        <v>0</v>
      </c>
      <c r="CI223" s="117">
        <f t="shared" si="281"/>
        <v>0.34899999999999998</v>
      </c>
      <c r="CJ223" s="4">
        <f t="shared" si="282"/>
        <v>15</v>
      </c>
      <c r="CK223" s="1">
        <f t="shared" si="287"/>
        <v>0</v>
      </c>
      <c r="CL223" s="1">
        <f t="shared" si="288"/>
        <v>0</v>
      </c>
      <c r="CM223" s="1">
        <f t="shared" si="289"/>
        <v>0</v>
      </c>
      <c r="CN223" s="1">
        <f>IF(ISNA(VLOOKUP($CZ223,'Audit Values'!$A$2:$AE$439,2,FALSE)),'Preliminary SO66'!T220,VLOOKUP($CZ223,'Audit Values'!$A$2:$AE$439,20,FALSE))</f>
        <v>15.8</v>
      </c>
      <c r="CO223" s="1">
        <f t="shared" si="254"/>
        <v>16.600000000000001</v>
      </c>
      <c r="CP223" s="183">
        <v>0</v>
      </c>
      <c r="CQ223" s="1">
        <f t="shared" si="255"/>
        <v>0</v>
      </c>
      <c r="CR223" s="2">
        <f>IF(ISNA(VLOOKUP($CZ223,'Audit Values'!$A$2:$AE$439,2,FALSE)),'Preliminary SO66'!V220,VLOOKUP($CZ223,'Audit Values'!$A$2:$AE$439,22,FALSE))</f>
        <v>0</v>
      </c>
      <c r="CS223" s="1">
        <f t="shared" si="256"/>
        <v>0</v>
      </c>
      <c r="CT223" s="2">
        <f>IF(ISNA(VLOOKUP($CZ223,'Audit Values'!$A$2:$AE$439,2,FALSE)),'Preliminary SO66'!W220,VLOOKUP($CZ223,'Audit Values'!$A$2:$AE$439,23,FALSE))</f>
        <v>0</v>
      </c>
      <c r="CU223" s="1">
        <f t="shared" si="299"/>
        <v>0</v>
      </c>
      <c r="CV223" s="1">
        <f t="shared" si="300"/>
        <v>16.600000000000001</v>
      </c>
      <c r="CW223" s="176">
        <v>0</v>
      </c>
      <c r="CX223" s="2">
        <f>IF(CW223&gt;0,Weightings!$M$11*AR223,0)</f>
        <v>0</v>
      </c>
      <c r="CY223" s="2">
        <f t="shared" si="290"/>
        <v>0</v>
      </c>
      <c r="CZ223" s="108" t="s">
        <v>515</v>
      </c>
    </row>
    <row r="224" spans="1:104">
      <c r="A224" s="82">
        <v>436</v>
      </c>
      <c r="B224" s="4" t="s">
        <v>101</v>
      </c>
      <c r="C224" s="4" t="s">
        <v>850</v>
      </c>
      <c r="D224" s="1">
        <v>798</v>
      </c>
      <c r="E224" s="1">
        <v>0</v>
      </c>
      <c r="F224" s="1">
        <f t="shared" si="294"/>
        <v>798</v>
      </c>
      <c r="G224" s="1">
        <v>751.5</v>
      </c>
      <c r="H224" s="1">
        <v>0</v>
      </c>
      <c r="I224" s="1">
        <f t="shared" si="257"/>
        <v>751.5</v>
      </c>
      <c r="J224" s="1">
        <f t="shared" si="258"/>
        <v>777.5</v>
      </c>
      <c r="K224" s="1">
        <f>IF(ISNA(VLOOKUP($CZ224,'Audit Values'!$A$2:$AE$439,2,FALSE)),'Preliminary SO66'!B221,VLOOKUP($CZ224,'Audit Values'!$A$2:$AE$439,31,FALSE))</f>
        <v>765.5</v>
      </c>
      <c r="L224" s="1">
        <f t="shared" si="259"/>
        <v>771.7</v>
      </c>
      <c r="M224" s="1">
        <f>IF(ISNA(VLOOKUP($CZ224,'Audit Values'!$A$2:$AE$439,2,FALSE)),'Preliminary SO66'!Z221,VLOOKUP($CZ224,'Audit Values'!$A$2:$AE$439,26,FALSE))</f>
        <v>0</v>
      </c>
      <c r="N224" s="1">
        <f t="shared" si="260"/>
        <v>771.7</v>
      </c>
      <c r="O224" s="1">
        <f>IF(ISNA(VLOOKUP($CZ224,'Audit Values'!$A$2:$AE$439,2,FALSE)),'Preliminary SO66'!C221,IF(VLOOKUP($CZ224,'Audit Values'!$A$2:$AE$439,28,FALSE)="",VLOOKUP($CZ224,'Audit Values'!$A$2:$AE$439,3,FALSE),VLOOKUP($CZ224,'Audit Values'!$A$2:$AE$439,28,FALSE)))</f>
        <v>9.5</v>
      </c>
      <c r="P224" s="109">
        <f t="shared" si="261"/>
        <v>775</v>
      </c>
      <c r="Q224" s="110">
        <f t="shared" si="262"/>
        <v>787</v>
      </c>
      <c r="R224" s="111">
        <f t="shared" si="263"/>
        <v>787</v>
      </c>
      <c r="S224" s="1">
        <f t="shared" si="264"/>
        <v>781.2</v>
      </c>
      <c r="T224" s="1">
        <f t="shared" si="293"/>
        <v>12</v>
      </c>
      <c r="U224" s="1">
        <f t="shared" si="265"/>
        <v>250.5</v>
      </c>
      <c r="V224" s="1">
        <f t="shared" si="251"/>
        <v>250.5</v>
      </c>
      <c r="W224" s="1">
        <f t="shared" si="252"/>
        <v>0</v>
      </c>
      <c r="X224" s="1">
        <f>IF(ISNA(VLOOKUP($CZ224,'Audit Values'!$A$2:$AE$439,2,FALSE)),'Preliminary SO66'!D221,VLOOKUP($CZ224,'Audit Values'!$A$2:$AE$439,4,FALSE))</f>
        <v>155.80000000000001</v>
      </c>
      <c r="Y224" s="1">
        <f>ROUND((X224/6)*Weightings!$M$6,1)</f>
        <v>13</v>
      </c>
      <c r="Z224" s="1">
        <f>IF(ISNA(VLOOKUP($CZ224,'Audit Values'!$A$2:$AE$439,2,FALSE)),'Preliminary SO66'!F221,VLOOKUP($CZ224,'Audit Values'!$A$2:$AE$439,6,FALSE))</f>
        <v>5.7</v>
      </c>
      <c r="AA224" s="1">
        <f>ROUND((Z224/6)*Weightings!$M$7,1)</f>
        <v>0.4</v>
      </c>
      <c r="AB224" s="2">
        <f>IF(ISNA(VLOOKUP($CZ224,'Audit Values'!$A$2:$AE$439,2,FALSE)),'Preliminary SO66'!H221,VLOOKUP($CZ224,'Audit Values'!$A$2:$AE$439,8,FALSE))</f>
        <v>322</v>
      </c>
      <c r="AC224" s="1">
        <f>ROUND(AB224*Weightings!$M$8,1)</f>
        <v>146.80000000000001</v>
      </c>
      <c r="AD224" s="1">
        <f t="shared" si="249"/>
        <v>14</v>
      </c>
      <c r="AE224" s="185">
        <v>48</v>
      </c>
      <c r="AF224" s="1">
        <f>AE224*Weightings!$M$9</f>
        <v>2.2000000000000002</v>
      </c>
      <c r="AG224" s="1">
        <f>IF(ISNA(VLOOKUP($CZ224,'Audit Values'!$A$2:$AE$439,2,FALSE)),'Preliminary SO66'!L221,VLOOKUP($CZ224,'Audit Values'!$A$2:$AE$439,12,FALSE))</f>
        <v>0</v>
      </c>
      <c r="AH224" s="1">
        <f>ROUND(AG224*Weightings!$M$10,1)</f>
        <v>0</v>
      </c>
      <c r="AI224" s="1">
        <f>IF(ISNA(VLOOKUP($CZ224,'Audit Values'!$A$2:$AE$439,2,FALSE)),'Preliminary SO66'!O221,VLOOKUP($CZ224,'Audit Values'!$A$2:$AE$439,15,FALSE))</f>
        <v>330</v>
      </c>
      <c r="AJ224" s="1">
        <f t="shared" si="266"/>
        <v>73.900000000000006</v>
      </c>
      <c r="AK224" s="1">
        <f>CC224/Weightings!$M$5</f>
        <v>0</v>
      </c>
      <c r="AL224" s="1">
        <f>CD224/Weightings!$M$5</f>
        <v>0</v>
      </c>
      <c r="AM224" s="1">
        <f>CH224/Weightings!$M$5</f>
        <v>0</v>
      </c>
      <c r="AN224" s="1">
        <f t="shared" si="253"/>
        <v>12.6</v>
      </c>
      <c r="AO224" s="1">
        <f>IF(ISNA(VLOOKUP($CZ224,'Audit Values'!$A$2:$AE$439,2,FALSE)),'Preliminary SO66'!X221,VLOOKUP($CZ224,'Audit Values'!$A$2:$AE$439,24,FALSE))</f>
        <v>0</v>
      </c>
      <c r="AP224" s="188">
        <v>483094</v>
      </c>
      <c r="AQ224" s="113">
        <f>AP224/Weightings!$M$5</f>
        <v>125.9</v>
      </c>
      <c r="AR224" s="113">
        <f t="shared" si="267"/>
        <v>1294.5999999999999</v>
      </c>
      <c r="AS224" s="1">
        <f t="shared" si="268"/>
        <v>1420.5</v>
      </c>
      <c r="AT224" s="1">
        <f t="shared" si="269"/>
        <v>1420.5</v>
      </c>
      <c r="AU224" s="2">
        <f t="shared" si="283"/>
        <v>138482</v>
      </c>
      <c r="AV224" s="82">
        <f>IF(ISNA(VLOOKUP($CZ224,'Audit Values'!$A$2:$AC$360,2,FALSE)),"",IF(AND(Weightings!H224&gt;0,VLOOKUP($CZ224,'Audit Values'!$A$2:$AC$360,29,FALSE)&lt;Weightings!H224),Weightings!H224,VLOOKUP($CZ224,'Audit Values'!$A$2:$AC$360,29,FALSE)))</f>
        <v>10</v>
      </c>
      <c r="AW224" s="82" t="str">
        <f>IF(ISNA(VLOOKUP($CZ224,'Audit Values'!$A$2:$AD$360,2,FALSE)),"",VLOOKUP($CZ224,'Audit Values'!$A$2:$AD$360,30,FALSE))</f>
        <v>A</v>
      </c>
      <c r="AX224" s="82" t="str">
        <f>IF(Weightings!G224="","",IF(Weightings!I224="Pending","PX","R"))</f>
        <v/>
      </c>
      <c r="AY224" s="114">
        <f>AR224*Weightings!$M$5+AU224</f>
        <v>5107157</v>
      </c>
      <c r="AZ224" s="2">
        <f>AT224*Weightings!$M$5+AU224</f>
        <v>5590361</v>
      </c>
      <c r="BA224" s="2">
        <f>IF(Weightings!G224&gt;0,Weightings!G224,'Preliminary SO66'!AB221)</f>
        <v>5923116</v>
      </c>
      <c r="BB224" s="2">
        <f t="shared" si="270"/>
        <v>5590361</v>
      </c>
      <c r="BC224" s="124"/>
      <c r="BD224" s="124">
        <f>Weightings!E224</f>
        <v>0</v>
      </c>
      <c r="BE224" s="124">
        <f>Weightings!F224</f>
        <v>0</v>
      </c>
      <c r="BF224" s="2">
        <f t="shared" si="271"/>
        <v>0</v>
      </c>
      <c r="BG224" s="2">
        <f t="shared" si="272"/>
        <v>5590361</v>
      </c>
      <c r="BH224" s="2">
        <f>MAX(ROUND(((AR224-AO224)*4433)+AP224,0),ROUND(((AR224-AO224)*4433)+Weightings!B224,0))</f>
        <v>6265892</v>
      </c>
      <c r="BI224" s="174">
        <v>0.3</v>
      </c>
      <c r="BJ224" s="2">
        <f t="shared" si="298"/>
        <v>1879768</v>
      </c>
      <c r="BK224" s="173">
        <v>1065000</v>
      </c>
      <c r="BL224" s="2">
        <f t="shared" si="246"/>
        <v>1065000</v>
      </c>
      <c r="BM224" s="3">
        <f t="shared" si="284"/>
        <v>0.17</v>
      </c>
      <c r="BN224" s="1">
        <f t="shared" si="273"/>
        <v>0</v>
      </c>
      <c r="BO224" s="4" t="b">
        <f t="shared" si="274"/>
        <v>0</v>
      </c>
      <c r="BP224" s="5">
        <f t="shared" si="275"/>
        <v>0</v>
      </c>
      <c r="BQ224" s="6">
        <f t="shared" si="247"/>
        <v>0</v>
      </c>
      <c r="BR224" s="4">
        <f t="shared" si="276"/>
        <v>0</v>
      </c>
      <c r="BS224" s="4" t="b">
        <f t="shared" si="277"/>
        <v>1</v>
      </c>
      <c r="BT224" s="4">
        <f t="shared" si="278"/>
        <v>595.48500000000001</v>
      </c>
      <c r="BU224" s="6">
        <f t="shared" si="248"/>
        <v>0.32069900000000001</v>
      </c>
      <c r="BV224" s="1">
        <f t="shared" si="279"/>
        <v>250.5</v>
      </c>
      <c r="BW224" s="1">
        <f t="shared" si="280"/>
        <v>0</v>
      </c>
      <c r="BX224" s="116">
        <v>168</v>
      </c>
      <c r="BY224" s="7">
        <f t="shared" si="285"/>
        <v>1.96</v>
      </c>
      <c r="BZ224" s="7">
        <f>IF(ROUND((Weightings!$P$5*BY224^Weightings!$P$6*Weightings!$P$8 ),2)&lt;Weightings!$P$7,Weightings!$P$7,ROUND((Weightings!$P$5*BY224^Weightings!$P$6*Weightings!$P$8 ),2))</f>
        <v>859.63</v>
      </c>
      <c r="CA224" s="8">
        <f>ROUND(BZ224/Weightings!$M$5,4)</f>
        <v>0.224</v>
      </c>
      <c r="CB224" s="1">
        <f t="shared" si="286"/>
        <v>73.900000000000006</v>
      </c>
      <c r="CC224" s="173">
        <v>0</v>
      </c>
      <c r="CD224" s="173">
        <v>0</v>
      </c>
      <c r="CE224" s="173">
        <v>0</v>
      </c>
      <c r="CF224" s="177">
        <v>0</v>
      </c>
      <c r="CG224" s="2">
        <f>AS224*Weightings!$M$5*CF224</f>
        <v>0</v>
      </c>
      <c r="CH224" s="2">
        <f t="shared" si="250"/>
        <v>0</v>
      </c>
      <c r="CI224" s="117">
        <f t="shared" si="281"/>
        <v>0.41199999999999998</v>
      </c>
      <c r="CJ224" s="4">
        <f t="shared" si="282"/>
        <v>4.7</v>
      </c>
      <c r="CK224" s="1">
        <f t="shared" si="287"/>
        <v>0</v>
      </c>
      <c r="CL224" s="1">
        <f t="shared" si="288"/>
        <v>0</v>
      </c>
      <c r="CM224" s="1">
        <f t="shared" si="289"/>
        <v>14</v>
      </c>
      <c r="CN224" s="1">
        <f>IF(ISNA(VLOOKUP($CZ224,'Audit Values'!$A$2:$AE$439,2,FALSE)),'Preliminary SO66'!T221,VLOOKUP($CZ224,'Audit Values'!$A$2:$AE$439,20,FALSE))</f>
        <v>12</v>
      </c>
      <c r="CO224" s="1">
        <f t="shared" si="254"/>
        <v>12.6</v>
      </c>
      <c r="CP224" s="183">
        <v>0</v>
      </c>
      <c r="CQ224" s="1">
        <f t="shared" si="255"/>
        <v>0</v>
      </c>
      <c r="CR224" s="2">
        <f>IF(ISNA(VLOOKUP($CZ224,'Audit Values'!$A$2:$AE$439,2,FALSE)),'Preliminary SO66'!V221,VLOOKUP($CZ224,'Audit Values'!$A$2:$AE$439,22,FALSE))</f>
        <v>0</v>
      </c>
      <c r="CS224" s="1">
        <f t="shared" si="256"/>
        <v>0</v>
      </c>
      <c r="CT224" s="2">
        <f>IF(ISNA(VLOOKUP($CZ224,'Audit Values'!$A$2:$AE$439,2,FALSE)),'Preliminary SO66'!W221,VLOOKUP($CZ224,'Audit Values'!$A$2:$AE$439,23,FALSE))</f>
        <v>0</v>
      </c>
      <c r="CU224" s="1">
        <f t="shared" si="299"/>
        <v>0</v>
      </c>
      <c r="CV224" s="1">
        <f t="shared" si="300"/>
        <v>12.6</v>
      </c>
      <c r="CW224" s="176">
        <v>138482</v>
      </c>
      <c r="CX224" s="2">
        <f>IF(CW224&gt;0,Weightings!$M$11*AR224,0)</f>
        <v>323650</v>
      </c>
      <c r="CY224" s="2">
        <f t="shared" si="290"/>
        <v>138482</v>
      </c>
      <c r="CZ224" s="108" t="s">
        <v>516</v>
      </c>
    </row>
    <row r="225" spans="1:104">
      <c r="A225" s="82">
        <v>437</v>
      </c>
      <c r="B225" s="4" t="s">
        <v>63</v>
      </c>
      <c r="C225" s="4" t="s">
        <v>851</v>
      </c>
      <c r="D225" s="1">
        <v>5594.5</v>
      </c>
      <c r="E225" s="1">
        <v>0</v>
      </c>
      <c r="F225" s="1">
        <f t="shared" si="294"/>
        <v>5594.5</v>
      </c>
      <c r="G225" s="1">
        <v>5707</v>
      </c>
      <c r="H225" s="1">
        <v>0</v>
      </c>
      <c r="I225" s="1">
        <f t="shared" si="257"/>
        <v>5707</v>
      </c>
      <c r="J225" s="1">
        <f t="shared" si="258"/>
        <v>5738.4</v>
      </c>
      <c r="K225" s="1">
        <f>IF(ISNA(VLOOKUP($CZ225,'Audit Values'!$A$2:$AE$439,2,FALSE)),'Preliminary SO66'!B222,VLOOKUP($CZ225,'Audit Values'!$A$2:$AE$439,31,FALSE))</f>
        <v>5720</v>
      </c>
      <c r="L225" s="1">
        <f t="shared" si="259"/>
        <v>5720</v>
      </c>
      <c r="M225" s="1">
        <f>IF(ISNA(VLOOKUP($CZ225,'Audit Values'!$A$2:$AE$439,2,FALSE)),'Preliminary SO66'!Z222,VLOOKUP($CZ225,'Audit Values'!$A$2:$AE$439,26,FALSE))</f>
        <v>0</v>
      </c>
      <c r="N225" s="1">
        <f t="shared" si="260"/>
        <v>5720</v>
      </c>
      <c r="O225" s="1">
        <f>IF(ISNA(VLOOKUP($CZ225,'Audit Values'!$A$2:$AE$439,2,FALSE)),'Preliminary SO66'!C222,IF(VLOOKUP($CZ225,'Audit Values'!$A$2:$AE$439,28,FALSE)="",VLOOKUP($CZ225,'Audit Values'!$A$2:$AE$439,3,FALSE),VLOOKUP($CZ225,'Audit Values'!$A$2:$AE$439,28,FALSE)))</f>
        <v>30</v>
      </c>
      <c r="P225" s="109">
        <f t="shared" si="261"/>
        <v>5750</v>
      </c>
      <c r="Q225" s="110">
        <f t="shared" si="262"/>
        <v>5768.4</v>
      </c>
      <c r="R225" s="111">
        <f t="shared" si="263"/>
        <v>5768.4</v>
      </c>
      <c r="S225" s="1">
        <f t="shared" si="264"/>
        <v>5750</v>
      </c>
      <c r="T225" s="1">
        <f t="shared" si="293"/>
        <v>18.399999999999999</v>
      </c>
      <c r="U225" s="1">
        <f t="shared" si="265"/>
        <v>201.5</v>
      </c>
      <c r="V225" s="1">
        <f t="shared" si="251"/>
        <v>0</v>
      </c>
      <c r="W225" s="1">
        <f t="shared" si="252"/>
        <v>201.5</v>
      </c>
      <c r="X225" s="1">
        <f>IF(ISNA(VLOOKUP($CZ225,'Audit Values'!$A$2:$AE$439,2,FALSE)),'Preliminary SO66'!D222,VLOOKUP($CZ225,'Audit Values'!$A$2:$AE$439,4,FALSE))</f>
        <v>524.9</v>
      </c>
      <c r="Y225" s="1">
        <f>ROUND((X225/6)*Weightings!$M$6,1)</f>
        <v>43.7</v>
      </c>
      <c r="Z225" s="1">
        <f>IF(ISNA(VLOOKUP($CZ225,'Audit Values'!$A$2:$AE$439,2,FALSE)),'Preliminary SO66'!F222,VLOOKUP($CZ225,'Audit Values'!$A$2:$AE$439,6,FALSE))</f>
        <v>116.9</v>
      </c>
      <c r="AA225" s="1">
        <f>ROUND((Z225/6)*Weightings!$M$7,1)</f>
        <v>7.7</v>
      </c>
      <c r="AB225" s="2">
        <f>IF(ISNA(VLOOKUP($CZ225,'Audit Values'!$A$2:$AE$439,2,FALSE)),'Preliminary SO66'!H222,VLOOKUP($CZ225,'Audit Values'!$A$2:$AE$439,8,FALSE))</f>
        <v>1517</v>
      </c>
      <c r="AC225" s="1">
        <f>ROUND(AB225*Weightings!$M$8,1)</f>
        <v>691.8</v>
      </c>
      <c r="AD225" s="1">
        <f t="shared" si="249"/>
        <v>0</v>
      </c>
      <c r="AE225" s="185">
        <v>161</v>
      </c>
      <c r="AF225" s="1">
        <f>AE225*Weightings!$M$9</f>
        <v>7.5</v>
      </c>
      <c r="AG225" s="1">
        <f>IF(ISNA(VLOOKUP($CZ225,'Audit Values'!$A$2:$AE$439,2,FALSE)),'Preliminary SO66'!L222,VLOOKUP($CZ225,'Audit Values'!$A$2:$AE$439,12,FALSE))</f>
        <v>94.5</v>
      </c>
      <c r="AH225" s="1">
        <f>ROUND(AG225*Weightings!$M$10,1)</f>
        <v>23.6</v>
      </c>
      <c r="AI225" s="1">
        <f>IF(ISNA(VLOOKUP($CZ225,'Audit Values'!$A$2:$AE$439,2,FALSE)),'Preliminary SO66'!O222,VLOOKUP($CZ225,'Audit Values'!$A$2:$AE$439,15,FALSE))</f>
        <v>3128.5</v>
      </c>
      <c r="AJ225" s="1">
        <f t="shared" si="266"/>
        <v>476.8</v>
      </c>
      <c r="AK225" s="1">
        <f>CC225/Weightings!$M$5</f>
        <v>0</v>
      </c>
      <c r="AL225" s="1">
        <f>CD225/Weightings!$M$5</f>
        <v>0</v>
      </c>
      <c r="AM225" s="1">
        <f>CH225/Weightings!$M$5</f>
        <v>0</v>
      </c>
      <c r="AN225" s="1">
        <f t="shared" si="253"/>
        <v>19.3</v>
      </c>
      <c r="AO225" s="1">
        <f>IF(ISNA(VLOOKUP($CZ225,'Audit Values'!$A$2:$AE$439,2,FALSE)),'Preliminary SO66'!X222,VLOOKUP($CZ225,'Audit Values'!$A$2:$AE$439,24,FALSE))</f>
        <v>4</v>
      </c>
      <c r="AP225" s="188">
        <v>5599046</v>
      </c>
      <c r="AQ225" s="113">
        <f>AP225/Weightings!$M$5</f>
        <v>1458.8</v>
      </c>
      <c r="AR225" s="113">
        <f t="shared" si="267"/>
        <v>7225.9</v>
      </c>
      <c r="AS225" s="1">
        <f t="shared" si="268"/>
        <v>8684.7000000000007</v>
      </c>
      <c r="AT225" s="1">
        <f t="shared" si="269"/>
        <v>8684.7000000000007</v>
      </c>
      <c r="AU225" s="2">
        <f t="shared" si="283"/>
        <v>1135836</v>
      </c>
      <c r="AV225" s="82">
        <f>IF(ISNA(VLOOKUP($CZ225,'Audit Values'!$A$2:$AC$360,2,FALSE)),"",IF(AND(Weightings!H225&gt;0,VLOOKUP($CZ225,'Audit Values'!$A$2:$AC$360,29,FALSE)&lt;Weightings!H225),Weightings!H225,VLOOKUP($CZ225,'Audit Values'!$A$2:$AC$360,29,FALSE)))</f>
        <v>10</v>
      </c>
      <c r="AW225" s="82" t="str">
        <f>IF(ISNA(VLOOKUP($CZ225,'Audit Values'!$A$2:$AD$360,2,FALSE)),"",VLOOKUP($CZ225,'Audit Values'!$A$2:$AD$360,30,FALSE))</f>
        <v>A</v>
      </c>
      <c r="AX225" s="82" t="str">
        <f>IF(Weightings!G225="","",IF(Weightings!I225="Pending","PX","R"))</f>
        <v/>
      </c>
      <c r="AY225" s="114">
        <f>AR225*Weightings!$M$5+AU225</f>
        <v>28868840</v>
      </c>
      <c r="AZ225" s="2">
        <f>AT225*Weightings!$M$5+AU225</f>
        <v>34467715</v>
      </c>
      <c r="BA225" s="2">
        <f>IF(Weightings!G225&gt;0,Weightings!G225,'Preliminary SO66'!AB222)</f>
        <v>34780128</v>
      </c>
      <c r="BB225" s="2">
        <f t="shared" si="270"/>
        <v>34467715</v>
      </c>
      <c r="BC225" s="124"/>
      <c r="BD225" s="124">
        <f>Weightings!E225</f>
        <v>-8623</v>
      </c>
      <c r="BE225" s="124">
        <f>Weightings!F225</f>
        <v>0</v>
      </c>
      <c r="BF225" s="2">
        <f t="shared" si="271"/>
        <v>-8623</v>
      </c>
      <c r="BG225" s="2">
        <f t="shared" si="272"/>
        <v>34459092</v>
      </c>
      <c r="BH225" s="2">
        <f>MAX(ROUND(((AR225-AO225)*4433)+AP225,0),ROUND(((AR225-AO225)*4433)+Weightings!B225,0))</f>
        <v>37613729</v>
      </c>
      <c r="BI225" s="174">
        <v>0.3</v>
      </c>
      <c r="BJ225" s="2">
        <f t="shared" si="298"/>
        <v>11284119</v>
      </c>
      <c r="BK225" s="173">
        <v>11394975</v>
      </c>
      <c r="BL225" s="2">
        <f t="shared" si="246"/>
        <v>11284119</v>
      </c>
      <c r="BM225" s="3">
        <f t="shared" si="284"/>
        <v>0.3</v>
      </c>
      <c r="BN225" s="1">
        <f t="shared" si="273"/>
        <v>0</v>
      </c>
      <c r="BO225" s="4" t="b">
        <f t="shared" si="274"/>
        <v>0</v>
      </c>
      <c r="BP225" s="5">
        <f t="shared" si="275"/>
        <v>0</v>
      </c>
      <c r="BQ225" s="6">
        <f t="shared" si="247"/>
        <v>0</v>
      </c>
      <c r="BR225" s="4">
        <f t="shared" si="276"/>
        <v>0</v>
      </c>
      <c r="BS225" s="4" t="b">
        <f t="shared" si="277"/>
        <v>0</v>
      </c>
      <c r="BT225" s="4">
        <f t="shared" si="278"/>
        <v>0</v>
      </c>
      <c r="BU225" s="6">
        <f t="shared" si="248"/>
        <v>0</v>
      </c>
      <c r="BV225" s="1">
        <f t="shared" si="279"/>
        <v>0</v>
      </c>
      <c r="BW225" s="1">
        <f t="shared" si="280"/>
        <v>201.5</v>
      </c>
      <c r="BX225" s="116">
        <v>128</v>
      </c>
      <c r="BY225" s="7">
        <f t="shared" si="285"/>
        <v>24.44</v>
      </c>
      <c r="BZ225" s="7">
        <f>IF(ROUND((Weightings!$P$5*BY225^Weightings!$P$6*Weightings!$P$8 ),2)&lt;Weightings!$P$7,Weightings!$P$7,ROUND((Weightings!$P$5*BY225^Weightings!$P$6*Weightings!$P$8 ),2))</f>
        <v>585</v>
      </c>
      <c r="CA225" s="8">
        <f>ROUND(BZ225/Weightings!$M$5,4)</f>
        <v>0.15240000000000001</v>
      </c>
      <c r="CB225" s="1">
        <f t="shared" si="286"/>
        <v>476.8</v>
      </c>
      <c r="CC225" s="173">
        <v>0</v>
      </c>
      <c r="CD225" s="173">
        <v>0</v>
      </c>
      <c r="CE225" s="173">
        <v>0</v>
      </c>
      <c r="CF225" s="177">
        <v>2.6800000000000001E-2</v>
      </c>
      <c r="CG225" s="2">
        <f>AS225*Weightings!$M$5*CF225</f>
        <v>893294</v>
      </c>
      <c r="CH225" s="2">
        <f t="shared" si="250"/>
        <v>0</v>
      </c>
      <c r="CI225" s="117">
        <f t="shared" si="281"/>
        <v>0.26400000000000001</v>
      </c>
      <c r="CJ225" s="4">
        <f t="shared" si="282"/>
        <v>44.9</v>
      </c>
      <c r="CK225" s="1">
        <f t="shared" si="287"/>
        <v>0</v>
      </c>
      <c r="CL225" s="1">
        <f t="shared" si="288"/>
        <v>0</v>
      </c>
      <c r="CM225" s="1">
        <f t="shared" si="289"/>
        <v>0</v>
      </c>
      <c r="CN225" s="1">
        <f>IF(ISNA(VLOOKUP($CZ225,'Audit Values'!$A$2:$AE$439,2,FALSE)),'Preliminary SO66'!T222,VLOOKUP($CZ225,'Audit Values'!$A$2:$AE$439,20,FALSE))</f>
        <v>18.399999999999999</v>
      </c>
      <c r="CO225" s="1">
        <f t="shared" si="254"/>
        <v>19.3</v>
      </c>
      <c r="CP225" s="183">
        <v>0</v>
      </c>
      <c r="CQ225" s="1">
        <f t="shared" si="255"/>
        <v>0</v>
      </c>
      <c r="CR225" s="2">
        <f>IF(ISNA(VLOOKUP($CZ225,'Audit Values'!$A$2:$AE$439,2,FALSE)),'Preliminary SO66'!V222,VLOOKUP($CZ225,'Audit Values'!$A$2:$AE$439,22,FALSE))</f>
        <v>0</v>
      </c>
      <c r="CS225" s="1">
        <f t="shared" si="256"/>
        <v>0</v>
      </c>
      <c r="CT225" s="2">
        <f>IF(ISNA(VLOOKUP($CZ225,'Audit Values'!$A$2:$AE$439,2,FALSE)),'Preliminary SO66'!W222,VLOOKUP($CZ225,'Audit Values'!$A$2:$AE$439,23,FALSE))</f>
        <v>0</v>
      </c>
      <c r="CU225" s="1">
        <f t="shared" si="299"/>
        <v>0</v>
      </c>
      <c r="CV225" s="1">
        <f t="shared" si="300"/>
        <v>19.3</v>
      </c>
      <c r="CW225" s="176">
        <v>1135836</v>
      </c>
      <c r="CX225" s="2">
        <f>IF(CW225&gt;0,Weightings!$M$11*AR225,0)</f>
        <v>1806475</v>
      </c>
      <c r="CY225" s="2">
        <f t="shared" si="290"/>
        <v>1135836</v>
      </c>
      <c r="CZ225" s="108" t="s">
        <v>517</v>
      </c>
    </row>
    <row r="226" spans="1:104">
      <c r="A226" s="82">
        <v>438</v>
      </c>
      <c r="B226" s="4" t="s">
        <v>83</v>
      </c>
      <c r="C226" s="4" t="s">
        <v>852</v>
      </c>
      <c r="D226" s="1">
        <v>367.5</v>
      </c>
      <c r="E226" s="1">
        <v>0</v>
      </c>
      <c r="F226" s="1">
        <f t="shared" si="294"/>
        <v>367.5</v>
      </c>
      <c r="G226" s="1">
        <v>388.5</v>
      </c>
      <c r="H226" s="1">
        <v>0</v>
      </c>
      <c r="I226" s="1">
        <f t="shared" si="257"/>
        <v>388.5</v>
      </c>
      <c r="J226" s="1">
        <f t="shared" si="258"/>
        <v>411.9</v>
      </c>
      <c r="K226" s="1">
        <f>IF(ISNA(VLOOKUP($CZ226,'Audit Values'!$A$2:$AE$439,2,FALSE)),'Preliminary SO66'!B223,VLOOKUP($CZ226,'Audit Values'!$A$2:$AE$439,31,FALSE))</f>
        <v>400</v>
      </c>
      <c r="L226" s="1">
        <f t="shared" si="259"/>
        <v>400</v>
      </c>
      <c r="M226" s="1">
        <f>IF(ISNA(VLOOKUP($CZ226,'Audit Values'!$A$2:$AE$439,2,FALSE)),'Preliminary SO66'!Z223,VLOOKUP($CZ226,'Audit Values'!$A$2:$AE$439,26,FALSE))</f>
        <v>0</v>
      </c>
      <c r="N226" s="1">
        <f t="shared" si="260"/>
        <v>400</v>
      </c>
      <c r="O226" s="1">
        <f>IF(ISNA(VLOOKUP($CZ226,'Audit Values'!$A$2:$AE$439,2,FALSE)),'Preliminary SO66'!C223,IF(VLOOKUP($CZ226,'Audit Values'!$A$2:$AE$439,28,FALSE)="",VLOOKUP($CZ226,'Audit Values'!$A$2:$AE$439,3,FALSE),VLOOKUP($CZ226,'Audit Values'!$A$2:$AE$439,28,FALSE)))</f>
        <v>0</v>
      </c>
      <c r="P226" s="109">
        <f t="shared" si="261"/>
        <v>400</v>
      </c>
      <c r="Q226" s="110">
        <f t="shared" si="262"/>
        <v>411.9</v>
      </c>
      <c r="R226" s="111">
        <f t="shared" si="263"/>
        <v>411.9</v>
      </c>
      <c r="S226" s="1">
        <f t="shared" si="264"/>
        <v>400</v>
      </c>
      <c r="T226" s="1">
        <f t="shared" si="293"/>
        <v>11.9</v>
      </c>
      <c r="U226" s="1">
        <f t="shared" si="265"/>
        <v>180.1</v>
      </c>
      <c r="V226" s="1">
        <f t="shared" si="251"/>
        <v>180.1</v>
      </c>
      <c r="W226" s="1">
        <f t="shared" si="252"/>
        <v>0</v>
      </c>
      <c r="X226" s="1">
        <f>IF(ISNA(VLOOKUP($CZ226,'Audit Values'!$A$2:$AE$439,2,FALSE)),'Preliminary SO66'!D223,VLOOKUP($CZ226,'Audit Values'!$A$2:$AE$439,4,FALSE))</f>
        <v>74</v>
      </c>
      <c r="Y226" s="1">
        <f>ROUND((X226/6)*Weightings!$M$6,1)</f>
        <v>6.2</v>
      </c>
      <c r="Z226" s="1">
        <f>IF(ISNA(VLOOKUP($CZ226,'Audit Values'!$A$2:$AE$439,2,FALSE)),'Preliminary SO66'!F223,VLOOKUP($CZ226,'Audit Values'!$A$2:$AE$439,6,FALSE))</f>
        <v>5.3</v>
      </c>
      <c r="AA226" s="1">
        <f>ROUND((Z226/6)*Weightings!$M$7,1)</f>
        <v>0.3</v>
      </c>
      <c r="AB226" s="2">
        <f>IF(ISNA(VLOOKUP($CZ226,'Audit Values'!$A$2:$AE$439,2,FALSE)),'Preliminary SO66'!H223,VLOOKUP($CZ226,'Audit Values'!$A$2:$AE$439,8,FALSE))</f>
        <v>68</v>
      </c>
      <c r="AC226" s="1">
        <f>ROUND(AB226*Weightings!$M$8,1)</f>
        <v>31</v>
      </c>
      <c r="AD226" s="1">
        <f t="shared" si="249"/>
        <v>0</v>
      </c>
      <c r="AE226" s="185">
        <v>50</v>
      </c>
      <c r="AF226" s="1">
        <f>AE226*Weightings!$M$9</f>
        <v>2.2999999999999998</v>
      </c>
      <c r="AG226" s="1">
        <f>IF(ISNA(VLOOKUP($CZ226,'Audit Values'!$A$2:$AE$439,2,FALSE)),'Preliminary SO66'!L223,VLOOKUP($CZ226,'Audit Values'!$A$2:$AE$439,12,FALSE))</f>
        <v>0</v>
      </c>
      <c r="AH226" s="1">
        <f>ROUND(AG226*Weightings!$M$10,1)</f>
        <v>0</v>
      </c>
      <c r="AI226" s="1">
        <f>IF(ISNA(VLOOKUP($CZ226,'Audit Values'!$A$2:$AE$439,2,FALSE)),'Preliminary SO66'!O223,VLOOKUP($CZ226,'Audit Values'!$A$2:$AE$439,15,FALSE))</f>
        <v>135</v>
      </c>
      <c r="AJ226" s="1">
        <f t="shared" si="266"/>
        <v>47.1</v>
      </c>
      <c r="AK226" s="1">
        <f>CC226/Weightings!$M$5</f>
        <v>0</v>
      </c>
      <c r="AL226" s="1">
        <f>CD226/Weightings!$M$5</f>
        <v>0</v>
      </c>
      <c r="AM226" s="1">
        <f>CH226/Weightings!$M$5</f>
        <v>0</v>
      </c>
      <c r="AN226" s="1">
        <f t="shared" si="253"/>
        <v>12.5</v>
      </c>
      <c r="AO226" s="1">
        <f>IF(ISNA(VLOOKUP($CZ226,'Audit Values'!$A$2:$AE$439,2,FALSE)),'Preliminary SO66'!X223,VLOOKUP($CZ226,'Audit Values'!$A$2:$AE$439,24,FALSE))</f>
        <v>0</v>
      </c>
      <c r="AP226" s="188">
        <v>446697</v>
      </c>
      <c r="AQ226" s="113">
        <f>AP226/Weightings!$M$5</f>
        <v>116.4</v>
      </c>
      <c r="AR226" s="113">
        <f t="shared" si="267"/>
        <v>679.5</v>
      </c>
      <c r="AS226" s="1">
        <f t="shared" si="268"/>
        <v>795.9</v>
      </c>
      <c r="AT226" s="1">
        <f t="shared" si="269"/>
        <v>795.9</v>
      </c>
      <c r="AU226" s="2">
        <f t="shared" si="283"/>
        <v>0</v>
      </c>
      <c r="AV226" s="82">
        <f>IF(ISNA(VLOOKUP($CZ226,'Audit Values'!$A$2:$AC$360,2,FALSE)),"",IF(AND(Weightings!H226&gt;0,VLOOKUP($CZ226,'Audit Values'!$A$2:$AC$360,29,FALSE)&lt;Weightings!H226),Weightings!H226,VLOOKUP($CZ226,'Audit Values'!$A$2:$AC$360,29,FALSE)))</f>
        <v>19</v>
      </c>
      <c r="AW226" s="82" t="str">
        <f>IF(ISNA(VLOOKUP($CZ226,'Audit Values'!$A$2:$AD$360,2,FALSE)),"",VLOOKUP($CZ226,'Audit Values'!$A$2:$AD$360,30,FALSE))</f>
        <v>A</v>
      </c>
      <c r="AX226" s="82" t="str">
        <f>IF(Weightings!G226="","",IF(Weightings!I226="Pending","PX","R"))</f>
        <v/>
      </c>
      <c r="AY226" s="114">
        <f>AR226*Weightings!$M$5+AU226</f>
        <v>2607921</v>
      </c>
      <c r="AZ226" s="2">
        <f>AT226*Weightings!$M$5+AU226</f>
        <v>3054664</v>
      </c>
      <c r="BA226" s="2">
        <f>IF(Weightings!G226&gt;0,Weightings!G226,'Preliminary SO66'!AB223)</f>
        <v>3455351</v>
      </c>
      <c r="BB226" s="2">
        <f t="shared" si="270"/>
        <v>3054664</v>
      </c>
      <c r="BC226" s="124"/>
      <c r="BD226" s="124">
        <f>Weightings!E226</f>
        <v>0</v>
      </c>
      <c r="BE226" s="124">
        <f>Weightings!F226</f>
        <v>0</v>
      </c>
      <c r="BF226" s="2">
        <f t="shared" si="271"/>
        <v>0</v>
      </c>
      <c r="BG226" s="2">
        <f t="shared" si="272"/>
        <v>3054664</v>
      </c>
      <c r="BH226" s="2">
        <f>MAX(ROUND(((AR226-AO226)*4433)+AP226,0),ROUND(((AR226-AO226)*4433)+Weightings!B226,0))</f>
        <v>3458921</v>
      </c>
      <c r="BI226" s="174">
        <v>0.3</v>
      </c>
      <c r="BJ226" s="2">
        <f t="shared" si="298"/>
        <v>1037676</v>
      </c>
      <c r="BK226" s="173">
        <v>1174135</v>
      </c>
      <c r="BL226" s="2">
        <f t="shared" si="246"/>
        <v>1037676</v>
      </c>
      <c r="BM226" s="3">
        <f t="shared" si="284"/>
        <v>0.3</v>
      </c>
      <c r="BN226" s="1">
        <f t="shared" si="273"/>
        <v>0</v>
      </c>
      <c r="BO226" s="4" t="b">
        <f t="shared" si="274"/>
        <v>0</v>
      </c>
      <c r="BP226" s="5">
        <f t="shared" si="275"/>
        <v>0</v>
      </c>
      <c r="BQ226" s="6">
        <f t="shared" si="247"/>
        <v>0</v>
      </c>
      <c r="BR226" s="4">
        <f t="shared" si="276"/>
        <v>0</v>
      </c>
      <c r="BS226" s="4" t="b">
        <f t="shared" si="277"/>
        <v>1</v>
      </c>
      <c r="BT226" s="4">
        <f t="shared" si="278"/>
        <v>123.75</v>
      </c>
      <c r="BU226" s="6">
        <f t="shared" si="248"/>
        <v>0.45021099999999997</v>
      </c>
      <c r="BV226" s="1">
        <f t="shared" si="279"/>
        <v>180.1</v>
      </c>
      <c r="BW226" s="1">
        <f t="shared" si="280"/>
        <v>0</v>
      </c>
      <c r="BX226" s="116">
        <v>490</v>
      </c>
      <c r="BY226" s="7">
        <f t="shared" si="285"/>
        <v>0.28000000000000003</v>
      </c>
      <c r="BZ226" s="7">
        <f>IF(ROUND((Weightings!$P$5*BY226^Weightings!$P$6*Weightings!$P$8 ),2)&lt;Weightings!$P$7,Weightings!$P$7,ROUND((Weightings!$P$5*BY226^Weightings!$P$6*Weightings!$P$8 ),2))</f>
        <v>1339.92</v>
      </c>
      <c r="CA226" s="8">
        <f>ROUND(BZ226/Weightings!$M$5,4)</f>
        <v>0.34910000000000002</v>
      </c>
      <c r="CB226" s="1">
        <f t="shared" si="286"/>
        <v>47.1</v>
      </c>
      <c r="CC226" s="173">
        <v>0</v>
      </c>
      <c r="CD226" s="173">
        <v>0</v>
      </c>
      <c r="CE226" s="173">
        <v>0</v>
      </c>
      <c r="CF226" s="177">
        <v>0</v>
      </c>
      <c r="CG226" s="2">
        <f>AS226*Weightings!$M$5*CF226</f>
        <v>0</v>
      </c>
      <c r="CH226" s="2">
        <f t="shared" si="250"/>
        <v>0</v>
      </c>
      <c r="CI226" s="117">
        <f t="shared" si="281"/>
        <v>0.17</v>
      </c>
      <c r="CJ226" s="4">
        <f t="shared" si="282"/>
        <v>0.8</v>
      </c>
      <c r="CK226" s="1">
        <f t="shared" si="287"/>
        <v>0</v>
      </c>
      <c r="CL226" s="1">
        <f t="shared" si="288"/>
        <v>0</v>
      </c>
      <c r="CM226" s="1">
        <f t="shared" si="289"/>
        <v>0</v>
      </c>
      <c r="CN226" s="1">
        <f>IF(ISNA(VLOOKUP($CZ226,'Audit Values'!$A$2:$AE$439,2,FALSE)),'Preliminary SO66'!T223,VLOOKUP($CZ226,'Audit Values'!$A$2:$AE$439,20,FALSE))</f>
        <v>11.9</v>
      </c>
      <c r="CO226" s="1">
        <f t="shared" si="254"/>
        <v>12.5</v>
      </c>
      <c r="CP226" s="183">
        <v>0</v>
      </c>
      <c r="CQ226" s="1">
        <f t="shared" si="255"/>
        <v>0</v>
      </c>
      <c r="CR226" s="2">
        <f>IF(ISNA(VLOOKUP($CZ226,'Audit Values'!$A$2:$AE$439,2,FALSE)),'Preliminary SO66'!V223,VLOOKUP($CZ226,'Audit Values'!$A$2:$AE$439,22,FALSE))</f>
        <v>0</v>
      </c>
      <c r="CS226" s="1">
        <f t="shared" si="256"/>
        <v>0</v>
      </c>
      <c r="CT226" s="2">
        <f>IF(ISNA(VLOOKUP($CZ226,'Audit Values'!$A$2:$AE$439,2,FALSE)),'Preliminary SO66'!W223,VLOOKUP($CZ226,'Audit Values'!$A$2:$AE$439,23,FALSE))</f>
        <v>0</v>
      </c>
      <c r="CU226" s="1">
        <f t="shared" si="299"/>
        <v>0</v>
      </c>
      <c r="CV226" s="1">
        <f t="shared" si="300"/>
        <v>12.5</v>
      </c>
      <c r="CW226" s="176">
        <v>0</v>
      </c>
      <c r="CX226" s="2">
        <f>IF(CW226&gt;0,Weightings!$M$11*AR226,0)</f>
        <v>0</v>
      </c>
      <c r="CY226" s="2">
        <f t="shared" si="290"/>
        <v>0</v>
      </c>
      <c r="CZ226" s="108" t="s">
        <v>518</v>
      </c>
    </row>
    <row r="227" spans="1:104">
      <c r="A227" s="82">
        <v>439</v>
      </c>
      <c r="B227" s="4" t="s">
        <v>76</v>
      </c>
      <c r="C227" s="4" t="s">
        <v>853</v>
      </c>
      <c r="D227" s="1">
        <v>524.1</v>
      </c>
      <c r="E227" s="1">
        <v>0</v>
      </c>
      <c r="F227" s="1">
        <f t="shared" si="294"/>
        <v>524.1</v>
      </c>
      <c r="G227" s="1">
        <v>496</v>
      </c>
      <c r="H227" s="1">
        <v>0</v>
      </c>
      <c r="I227" s="1">
        <f t="shared" si="257"/>
        <v>496</v>
      </c>
      <c r="J227" s="1">
        <f t="shared" si="258"/>
        <v>500.4</v>
      </c>
      <c r="K227" s="1">
        <f>IF(ISNA(VLOOKUP($CZ227,'Audit Values'!$A$2:$AE$439,2,FALSE)),'Preliminary SO66'!B224,VLOOKUP($CZ227,'Audit Values'!$A$2:$AE$439,31,FALSE))</f>
        <v>500.4</v>
      </c>
      <c r="L227" s="1">
        <f t="shared" si="259"/>
        <v>506.8</v>
      </c>
      <c r="M227" s="1">
        <f>IF(ISNA(VLOOKUP($CZ227,'Audit Values'!$A$2:$AE$439,2,FALSE)),'Preliminary SO66'!Z224,VLOOKUP($CZ227,'Audit Values'!$A$2:$AE$439,26,FALSE))</f>
        <v>0</v>
      </c>
      <c r="N227" s="1">
        <f t="shared" si="260"/>
        <v>506.8</v>
      </c>
      <c r="O227" s="1">
        <f>IF(ISNA(VLOOKUP($CZ227,'Audit Values'!$A$2:$AE$439,2,FALSE)),'Preliminary SO66'!C224,IF(VLOOKUP($CZ227,'Audit Values'!$A$2:$AE$439,28,FALSE)="",VLOOKUP($CZ227,'Audit Values'!$A$2:$AE$439,3,FALSE),VLOOKUP($CZ227,'Audit Values'!$A$2:$AE$439,28,FALSE)))</f>
        <v>0</v>
      </c>
      <c r="P227" s="109">
        <f t="shared" si="261"/>
        <v>500.4</v>
      </c>
      <c r="Q227" s="110">
        <f t="shared" si="262"/>
        <v>500.4</v>
      </c>
      <c r="R227" s="111">
        <f t="shared" si="263"/>
        <v>500.4</v>
      </c>
      <c r="S227" s="1">
        <f t="shared" si="264"/>
        <v>506.8</v>
      </c>
      <c r="T227" s="1">
        <f t="shared" si="293"/>
        <v>0</v>
      </c>
      <c r="U227" s="1">
        <f t="shared" si="265"/>
        <v>209.8</v>
      </c>
      <c r="V227" s="1">
        <f t="shared" si="251"/>
        <v>209.8</v>
      </c>
      <c r="W227" s="1">
        <f t="shared" si="252"/>
        <v>0</v>
      </c>
      <c r="X227" s="1">
        <f>IF(ISNA(VLOOKUP($CZ227,'Audit Values'!$A$2:$AE$439,2,FALSE)),'Preliminary SO66'!D224,VLOOKUP($CZ227,'Audit Values'!$A$2:$AE$439,4,FALSE))</f>
        <v>169.6</v>
      </c>
      <c r="Y227" s="1">
        <f>ROUND((X227/6)*Weightings!$M$6,1)</f>
        <v>14.1</v>
      </c>
      <c r="Z227" s="1">
        <f>IF(ISNA(VLOOKUP($CZ227,'Audit Values'!$A$2:$AE$439,2,FALSE)),'Preliminary SO66'!F224,VLOOKUP($CZ227,'Audit Values'!$A$2:$AE$439,6,FALSE))</f>
        <v>0</v>
      </c>
      <c r="AA227" s="1">
        <f>ROUND((Z227/6)*Weightings!$M$7,1)</f>
        <v>0</v>
      </c>
      <c r="AB227" s="2">
        <f>IF(ISNA(VLOOKUP($CZ227,'Audit Values'!$A$2:$AE$439,2,FALSE)),'Preliminary SO66'!H224,VLOOKUP($CZ227,'Audit Values'!$A$2:$AE$439,8,FALSE))</f>
        <v>147</v>
      </c>
      <c r="AC227" s="1">
        <f>ROUND(AB227*Weightings!$M$8,1)</f>
        <v>67</v>
      </c>
      <c r="AD227" s="1">
        <f t="shared" si="249"/>
        <v>0</v>
      </c>
      <c r="AE227" s="185">
        <v>35</v>
      </c>
      <c r="AF227" s="1">
        <f>AE227*Weightings!$M$9</f>
        <v>1.6</v>
      </c>
      <c r="AG227" s="1">
        <f>IF(ISNA(VLOOKUP($CZ227,'Audit Values'!$A$2:$AE$439,2,FALSE)),'Preliminary SO66'!L224,VLOOKUP($CZ227,'Audit Values'!$A$2:$AE$439,12,FALSE))</f>
        <v>0</v>
      </c>
      <c r="AH227" s="1">
        <f>ROUND(AG227*Weightings!$M$10,1)</f>
        <v>0</v>
      </c>
      <c r="AI227" s="1">
        <f>IF(ISNA(VLOOKUP($CZ227,'Audit Values'!$A$2:$AE$439,2,FALSE)),'Preliminary SO66'!O224,VLOOKUP($CZ227,'Audit Values'!$A$2:$AE$439,15,FALSE))</f>
        <v>61</v>
      </c>
      <c r="AJ227" s="1">
        <f t="shared" si="266"/>
        <v>14.6</v>
      </c>
      <c r="AK227" s="1">
        <f>CC227/Weightings!$M$5</f>
        <v>0</v>
      </c>
      <c r="AL227" s="1">
        <f>CD227/Weightings!$M$5</f>
        <v>0</v>
      </c>
      <c r="AM227" s="1">
        <f>CH227/Weightings!$M$5</f>
        <v>0</v>
      </c>
      <c r="AN227" s="1">
        <f t="shared" si="253"/>
        <v>0</v>
      </c>
      <c r="AO227" s="1">
        <f>IF(ISNA(VLOOKUP($CZ227,'Audit Values'!$A$2:$AE$439,2,FALSE)),'Preliminary SO66'!X224,VLOOKUP($CZ227,'Audit Values'!$A$2:$AE$439,24,FALSE))</f>
        <v>0</v>
      </c>
      <c r="AP227" s="188">
        <v>487084</v>
      </c>
      <c r="AQ227" s="113">
        <f>AP227/Weightings!$M$5</f>
        <v>126.9</v>
      </c>
      <c r="AR227" s="113">
        <f t="shared" si="267"/>
        <v>813.9</v>
      </c>
      <c r="AS227" s="1">
        <f t="shared" si="268"/>
        <v>940.8</v>
      </c>
      <c r="AT227" s="1">
        <f t="shared" si="269"/>
        <v>940.8</v>
      </c>
      <c r="AU227" s="2">
        <f t="shared" si="283"/>
        <v>0</v>
      </c>
      <c r="AV227" s="82">
        <f>IF(ISNA(VLOOKUP($CZ227,'Audit Values'!$A$2:$AC$360,2,FALSE)),"",IF(AND(Weightings!H227&gt;0,VLOOKUP($CZ227,'Audit Values'!$A$2:$AC$360,29,FALSE)&lt;Weightings!H227),Weightings!H227,VLOOKUP($CZ227,'Audit Values'!$A$2:$AC$360,29,FALSE)))</f>
        <v>21</v>
      </c>
      <c r="AW227" s="82" t="str">
        <f>IF(ISNA(VLOOKUP($CZ227,'Audit Values'!$A$2:$AD$360,2,FALSE)),"",VLOOKUP($CZ227,'Audit Values'!$A$2:$AD$360,30,FALSE))</f>
        <v>A</v>
      </c>
      <c r="AX227" s="82" t="str">
        <f>IF(Weightings!G227="","",IF(Weightings!I227="Pending","PX","R"))</f>
        <v>R</v>
      </c>
      <c r="AY227" s="114">
        <f>AR227*Weightings!$M$5+AU227</f>
        <v>3123748</v>
      </c>
      <c r="AZ227" s="2">
        <f>AT227*Weightings!$M$5+AU227</f>
        <v>3610790</v>
      </c>
      <c r="BA227" s="2">
        <f>IF(Weightings!G227&gt;0,Weightings!G227,'Preliminary SO66'!AB224)</f>
        <v>3758765</v>
      </c>
      <c r="BB227" s="2">
        <f t="shared" si="270"/>
        <v>3610790</v>
      </c>
      <c r="BC227" s="124"/>
      <c r="BD227" s="124">
        <f>Weightings!E227</f>
        <v>0</v>
      </c>
      <c r="BE227" s="124">
        <f>Weightings!F227</f>
        <v>0</v>
      </c>
      <c r="BF227" s="2">
        <f t="shared" si="271"/>
        <v>0</v>
      </c>
      <c r="BG227" s="2">
        <f t="shared" si="272"/>
        <v>3610790</v>
      </c>
      <c r="BH227" s="2">
        <f>MAX(ROUND(((AR227-AO227)*4433)+AP227,0),ROUND(((AR227-AO227)*4433)+Weightings!B227,0))</f>
        <v>4095103</v>
      </c>
      <c r="BI227" s="174">
        <v>0.3</v>
      </c>
      <c r="BJ227" s="2">
        <f t="shared" si="298"/>
        <v>1228531</v>
      </c>
      <c r="BK227" s="173">
        <v>875000</v>
      </c>
      <c r="BL227" s="2">
        <f t="shared" si="246"/>
        <v>875000</v>
      </c>
      <c r="BM227" s="3">
        <f t="shared" si="284"/>
        <v>0.2137</v>
      </c>
      <c r="BN227" s="1">
        <f t="shared" si="273"/>
        <v>0</v>
      </c>
      <c r="BO227" s="4" t="b">
        <f t="shared" si="274"/>
        <v>0</v>
      </c>
      <c r="BP227" s="5">
        <f t="shared" si="275"/>
        <v>0</v>
      </c>
      <c r="BQ227" s="6">
        <f t="shared" si="247"/>
        <v>0</v>
      </c>
      <c r="BR227" s="4">
        <f t="shared" si="276"/>
        <v>0</v>
      </c>
      <c r="BS227" s="4" t="b">
        <f t="shared" si="277"/>
        <v>1</v>
      </c>
      <c r="BT227" s="4">
        <f t="shared" si="278"/>
        <v>255.91499999999999</v>
      </c>
      <c r="BU227" s="6">
        <f t="shared" si="248"/>
        <v>0.41392600000000002</v>
      </c>
      <c r="BV227" s="1">
        <f t="shared" si="279"/>
        <v>209.8</v>
      </c>
      <c r="BW227" s="1">
        <f t="shared" si="280"/>
        <v>0</v>
      </c>
      <c r="BX227" s="116">
        <v>42</v>
      </c>
      <c r="BY227" s="7">
        <f t="shared" si="285"/>
        <v>1.45</v>
      </c>
      <c r="BZ227" s="7">
        <f>IF(ROUND((Weightings!$P$5*BY227^Weightings!$P$6*Weightings!$P$8 ),2)&lt;Weightings!$P$7,Weightings!$P$7,ROUND((Weightings!$P$5*BY227^Weightings!$P$6*Weightings!$P$8 ),2))</f>
        <v>920.8</v>
      </c>
      <c r="CA227" s="8">
        <f>ROUND(BZ227/Weightings!$M$5,4)</f>
        <v>0.2399</v>
      </c>
      <c r="CB227" s="1">
        <f t="shared" si="286"/>
        <v>14.6</v>
      </c>
      <c r="CC227" s="173">
        <v>0</v>
      </c>
      <c r="CD227" s="173">
        <v>0</v>
      </c>
      <c r="CE227" s="173">
        <v>0</v>
      </c>
      <c r="CF227" s="177">
        <v>0</v>
      </c>
      <c r="CG227" s="2">
        <f>AS227*Weightings!$M$5*CF227</f>
        <v>0</v>
      </c>
      <c r="CH227" s="2">
        <f t="shared" si="250"/>
        <v>0</v>
      </c>
      <c r="CI227" s="117">
        <f t="shared" si="281"/>
        <v>0.28999999999999998</v>
      </c>
      <c r="CJ227" s="4">
        <f t="shared" si="282"/>
        <v>12.1</v>
      </c>
      <c r="CK227" s="1">
        <f t="shared" si="287"/>
        <v>0</v>
      </c>
      <c r="CL227" s="1">
        <f t="shared" si="288"/>
        <v>0</v>
      </c>
      <c r="CM227" s="1">
        <f t="shared" si="289"/>
        <v>0</v>
      </c>
      <c r="CN227" s="1">
        <f>IF(ISNA(VLOOKUP($CZ227,'Audit Values'!$A$2:$AE$439,2,FALSE)),'Preliminary SO66'!T224,VLOOKUP($CZ227,'Audit Values'!$A$2:$AE$439,20,FALSE))</f>
        <v>0</v>
      </c>
      <c r="CO227" s="1">
        <f t="shared" si="254"/>
        <v>0</v>
      </c>
      <c r="CP227" s="183">
        <v>0</v>
      </c>
      <c r="CQ227" s="1">
        <f t="shared" si="255"/>
        <v>0</v>
      </c>
      <c r="CR227" s="2">
        <f>IF(ISNA(VLOOKUP($CZ227,'Audit Values'!$A$2:$AE$439,2,FALSE)),'Preliminary SO66'!V224,VLOOKUP($CZ227,'Audit Values'!$A$2:$AE$439,22,FALSE))</f>
        <v>0</v>
      </c>
      <c r="CS227" s="1">
        <f t="shared" si="256"/>
        <v>0</v>
      </c>
      <c r="CT227" s="2">
        <f>IF(ISNA(VLOOKUP($CZ227,'Audit Values'!$A$2:$AE$439,2,FALSE)),'Preliminary SO66'!W224,VLOOKUP($CZ227,'Audit Values'!$A$2:$AE$439,23,FALSE))</f>
        <v>0</v>
      </c>
      <c r="CU227" s="1">
        <f t="shared" si="299"/>
        <v>0</v>
      </c>
      <c r="CV227" s="1">
        <f t="shared" si="300"/>
        <v>0</v>
      </c>
      <c r="CW227" s="176">
        <v>0</v>
      </c>
      <c r="CX227" s="2">
        <f>IF(CW227&gt;0,Weightings!$M$11*AR227,0)</f>
        <v>0</v>
      </c>
      <c r="CY227" s="2">
        <f t="shared" si="290"/>
        <v>0</v>
      </c>
      <c r="CZ227" s="108" t="s">
        <v>519</v>
      </c>
    </row>
    <row r="228" spans="1:104">
      <c r="A228" s="82">
        <v>440</v>
      </c>
      <c r="B228" s="4" t="s">
        <v>76</v>
      </c>
      <c r="C228" s="4" t="s">
        <v>854</v>
      </c>
      <c r="D228" s="1">
        <v>747</v>
      </c>
      <c r="E228" s="1">
        <v>0</v>
      </c>
      <c r="F228" s="1">
        <f t="shared" si="294"/>
        <v>747</v>
      </c>
      <c r="G228" s="1">
        <v>744</v>
      </c>
      <c r="H228" s="1">
        <v>0</v>
      </c>
      <c r="I228" s="1">
        <f t="shared" si="257"/>
        <v>744</v>
      </c>
      <c r="J228" s="1">
        <f t="shared" si="258"/>
        <v>753.5</v>
      </c>
      <c r="K228" s="1">
        <f>IF(ISNA(VLOOKUP($CZ228,'Audit Values'!$A$2:$AE$439,2,FALSE)),'Preliminary SO66'!B225,VLOOKUP($CZ228,'Audit Values'!$A$2:$AE$439,31,FALSE))</f>
        <v>753.5</v>
      </c>
      <c r="L228" s="1">
        <f t="shared" si="259"/>
        <v>753.5</v>
      </c>
      <c r="M228" s="1">
        <f>IF(ISNA(VLOOKUP($CZ228,'Audit Values'!$A$2:$AE$439,2,FALSE)),'Preliminary SO66'!Z225,VLOOKUP($CZ228,'Audit Values'!$A$2:$AE$439,26,FALSE))</f>
        <v>0</v>
      </c>
      <c r="N228" s="1">
        <f t="shared" si="260"/>
        <v>753.5</v>
      </c>
      <c r="O228" s="1">
        <f>IF(ISNA(VLOOKUP($CZ228,'Audit Values'!$A$2:$AE$439,2,FALSE)),'Preliminary SO66'!C225,IF(VLOOKUP($CZ228,'Audit Values'!$A$2:$AE$439,28,FALSE)="",VLOOKUP($CZ228,'Audit Values'!$A$2:$AE$439,3,FALSE),VLOOKUP($CZ228,'Audit Values'!$A$2:$AE$439,28,FALSE)))</f>
        <v>10</v>
      </c>
      <c r="P228" s="109">
        <f t="shared" si="261"/>
        <v>763.5</v>
      </c>
      <c r="Q228" s="110">
        <f t="shared" si="262"/>
        <v>763.5</v>
      </c>
      <c r="R228" s="111">
        <f t="shared" si="263"/>
        <v>763.5</v>
      </c>
      <c r="S228" s="1">
        <f t="shared" si="264"/>
        <v>763.5</v>
      </c>
      <c r="T228" s="1">
        <f t="shared" si="293"/>
        <v>0</v>
      </c>
      <c r="U228" s="1">
        <f t="shared" si="265"/>
        <v>249.4</v>
      </c>
      <c r="V228" s="1">
        <f>MAX(BN228,BR228,BV228)</f>
        <v>249.4</v>
      </c>
      <c r="W228" s="1">
        <f t="shared" si="252"/>
        <v>0</v>
      </c>
      <c r="X228" s="1">
        <f>IF(ISNA(VLOOKUP($CZ228,'Audit Values'!$A$2:$AE$439,2,FALSE)),'Preliminary SO66'!D225,VLOOKUP($CZ228,'Audit Values'!$A$2:$AE$439,4,FALSE))</f>
        <v>326.89999999999998</v>
      </c>
      <c r="Y228" s="1">
        <f>ROUND((X228/6)*Weightings!$M$6,1)</f>
        <v>27.2</v>
      </c>
      <c r="Z228" s="1">
        <f>IF(ISNA(VLOOKUP($CZ228,'Audit Values'!$A$2:$AE$439,2,FALSE)),'Preliminary SO66'!F225,VLOOKUP($CZ228,'Audit Values'!$A$2:$AE$439,6,FALSE))</f>
        <v>7.3</v>
      </c>
      <c r="AA228" s="1">
        <f>ROUND((Z228/6)*Weightings!$M$7,1)</f>
        <v>0.5</v>
      </c>
      <c r="AB228" s="2">
        <f>IF(ISNA(VLOOKUP($CZ228,'Audit Values'!$A$2:$AE$439,2,FALSE)),'Preliminary SO66'!H225,VLOOKUP($CZ228,'Audit Values'!$A$2:$AE$439,8,FALSE))</f>
        <v>304</v>
      </c>
      <c r="AC228" s="1">
        <f>ROUND(AB228*Weightings!$M$8,1)</f>
        <v>138.6</v>
      </c>
      <c r="AD228" s="1">
        <f t="shared" si="249"/>
        <v>10.199999999999999</v>
      </c>
      <c r="AE228" s="185">
        <v>33</v>
      </c>
      <c r="AF228" s="1">
        <f>AE228*Weightings!$M$9</f>
        <v>1.5</v>
      </c>
      <c r="AG228" s="1">
        <f>IF(ISNA(VLOOKUP($CZ228,'Audit Values'!$A$2:$AE$439,2,FALSE)),'Preliminary SO66'!L225,VLOOKUP($CZ228,'Audit Values'!$A$2:$AE$439,12,FALSE))</f>
        <v>0</v>
      </c>
      <c r="AH228" s="1">
        <f>ROUND(AG228*Weightings!$M$10,1)</f>
        <v>0</v>
      </c>
      <c r="AI228" s="1">
        <f>IF(ISNA(VLOOKUP($CZ228,'Audit Values'!$A$2:$AE$439,2,FALSE)),'Preliminary SO66'!O225,VLOOKUP($CZ228,'Audit Values'!$A$2:$AE$439,15,FALSE))</f>
        <v>375</v>
      </c>
      <c r="AJ228" s="1">
        <f t="shared" si="266"/>
        <v>77</v>
      </c>
      <c r="AK228" s="1">
        <f>CC228/Weightings!$M$5</f>
        <v>0</v>
      </c>
      <c r="AL228" s="1">
        <f>CD228/Weightings!$M$5</f>
        <v>0</v>
      </c>
      <c r="AM228" s="1">
        <f>CH228/Weightings!$M$5</f>
        <v>0</v>
      </c>
      <c r="AN228" s="1">
        <f t="shared" si="253"/>
        <v>0</v>
      </c>
      <c r="AO228" s="1">
        <f>IF(ISNA(VLOOKUP($CZ228,'Audit Values'!$A$2:$AE$439,2,FALSE)),'Preliminary SO66'!X225,VLOOKUP($CZ228,'Audit Values'!$A$2:$AE$439,24,FALSE))</f>
        <v>0</v>
      </c>
      <c r="AP228" s="188">
        <v>669946</v>
      </c>
      <c r="AQ228" s="113">
        <f>AP228/Weightings!$M$5</f>
        <v>174.6</v>
      </c>
      <c r="AR228" s="113">
        <f t="shared" si="267"/>
        <v>1267.9000000000001</v>
      </c>
      <c r="AS228" s="1">
        <f t="shared" si="268"/>
        <v>1442.5</v>
      </c>
      <c r="AT228" s="1">
        <f t="shared" si="269"/>
        <v>1442.5</v>
      </c>
      <c r="AU228" s="2">
        <f t="shared" si="283"/>
        <v>0</v>
      </c>
      <c r="AV228" s="82">
        <f>IF(ISNA(VLOOKUP($CZ228,'Audit Values'!$A$2:$AC$360,2,FALSE)),"",IF(AND(Weightings!H228&gt;0,VLOOKUP($CZ228,'Audit Values'!$A$2:$AC$360,29,FALSE)&lt;Weightings!H228),Weightings!H228,VLOOKUP($CZ228,'Audit Values'!$A$2:$AC$360,29,FALSE)))</f>
        <v>18</v>
      </c>
      <c r="AW228" s="82" t="str">
        <f>IF(ISNA(VLOOKUP($CZ228,'Audit Values'!$A$2:$AD$360,2,FALSE)),"",VLOOKUP($CZ228,'Audit Values'!$A$2:$AD$360,30,FALSE))</f>
        <v>A</v>
      </c>
      <c r="AX228" s="82" t="str">
        <f>IF(Weightings!G228="","",IF(Weightings!I228="Pending","PX","R"))</f>
        <v/>
      </c>
      <c r="AY228" s="114">
        <f>AR228*Weightings!$M$5+AU228</f>
        <v>4866200</v>
      </c>
      <c r="AZ228" s="2">
        <f>AT228*Weightings!$M$5+AU228</f>
        <v>5536315</v>
      </c>
      <c r="BA228" s="2">
        <f>IF(Weightings!G228&gt;0,Weightings!G228,'Preliminary SO66'!AB225)</f>
        <v>5595420</v>
      </c>
      <c r="BB228" s="2">
        <f t="shared" si="270"/>
        <v>5536315</v>
      </c>
      <c r="BC228" s="124"/>
      <c r="BD228" s="124">
        <f>Weightings!E228</f>
        <v>0</v>
      </c>
      <c r="BE228" s="124">
        <f>Weightings!F228</f>
        <v>0</v>
      </c>
      <c r="BF228" s="2">
        <f t="shared" si="271"/>
        <v>0</v>
      </c>
      <c r="BG228" s="2">
        <f t="shared" si="272"/>
        <v>5536315</v>
      </c>
      <c r="BH228" s="2">
        <f>MAX(ROUND(((AR228-AO228)*4433)+AP228,0),ROUND(((AR228-AO228)*4433)+Weightings!B228,0))</f>
        <v>6290547</v>
      </c>
      <c r="BI228" s="174">
        <v>0.3</v>
      </c>
      <c r="BJ228" s="2">
        <f t="shared" si="298"/>
        <v>1887164</v>
      </c>
      <c r="BK228" s="173">
        <v>1680000</v>
      </c>
      <c r="BL228" s="2">
        <f t="shared" si="246"/>
        <v>1680000</v>
      </c>
      <c r="BM228" s="3">
        <f t="shared" si="284"/>
        <v>0.2671</v>
      </c>
      <c r="BN228" s="1">
        <f t="shared" si="273"/>
        <v>0</v>
      </c>
      <c r="BO228" s="4" t="b">
        <f t="shared" si="274"/>
        <v>0</v>
      </c>
      <c r="BP228" s="5">
        <f t="shared" si="275"/>
        <v>0</v>
      </c>
      <c r="BQ228" s="6">
        <f t="shared" si="247"/>
        <v>0</v>
      </c>
      <c r="BR228" s="4">
        <f t="shared" si="276"/>
        <v>0</v>
      </c>
      <c r="BS228" s="4" t="b">
        <f t="shared" si="277"/>
        <v>1</v>
      </c>
      <c r="BT228" s="4">
        <f t="shared" si="278"/>
        <v>573.58130000000006</v>
      </c>
      <c r="BU228" s="6">
        <f t="shared" si="248"/>
        <v>0.32671299999999998</v>
      </c>
      <c r="BV228" s="1">
        <f t="shared" si="279"/>
        <v>249.4</v>
      </c>
      <c r="BW228" s="1">
        <f t="shared" si="280"/>
        <v>0</v>
      </c>
      <c r="BX228" s="116">
        <v>130</v>
      </c>
      <c r="BY228" s="7">
        <f t="shared" si="285"/>
        <v>2.88</v>
      </c>
      <c r="BZ228" s="7">
        <f>IF(ROUND((Weightings!$P$5*BY228^Weightings!$P$6*Weightings!$P$8 ),2)&lt;Weightings!$P$7,Weightings!$P$7,ROUND((Weightings!$P$5*BY228^Weightings!$P$6*Weightings!$P$8 ),2))</f>
        <v>787.38</v>
      </c>
      <c r="CA228" s="8">
        <f>ROUND(BZ228/Weightings!$M$5,4)</f>
        <v>0.20519999999999999</v>
      </c>
      <c r="CB228" s="1">
        <f t="shared" si="286"/>
        <v>77</v>
      </c>
      <c r="CC228" s="173">
        <v>0</v>
      </c>
      <c r="CD228" s="173">
        <v>0</v>
      </c>
      <c r="CE228" s="173">
        <v>0</v>
      </c>
      <c r="CF228" s="177">
        <v>0</v>
      </c>
      <c r="CG228" s="2">
        <f>AS228*Weightings!$M$5*CF228</f>
        <v>0</v>
      </c>
      <c r="CH228" s="2">
        <f t="shared" si="250"/>
        <v>0</v>
      </c>
      <c r="CI228" s="117">
        <f t="shared" si="281"/>
        <v>0.39800000000000002</v>
      </c>
      <c r="CJ228" s="4">
        <f t="shared" si="282"/>
        <v>5.9</v>
      </c>
      <c r="CK228" s="1">
        <f t="shared" si="287"/>
        <v>0</v>
      </c>
      <c r="CL228" s="1">
        <f t="shared" si="288"/>
        <v>0</v>
      </c>
      <c r="CM228" s="1">
        <f t="shared" si="289"/>
        <v>10.199999999999999</v>
      </c>
      <c r="CN228" s="1">
        <f>IF(ISNA(VLOOKUP($CZ228,'Audit Values'!$A$2:$AE$439,2,FALSE)),'Preliminary SO66'!T225,VLOOKUP($CZ228,'Audit Values'!$A$2:$AE$439,20,FALSE))</f>
        <v>0</v>
      </c>
      <c r="CO228" s="1">
        <f t="shared" si="254"/>
        <v>0</v>
      </c>
      <c r="CP228" s="183">
        <v>0</v>
      </c>
      <c r="CQ228" s="1">
        <f t="shared" si="255"/>
        <v>0</v>
      </c>
      <c r="CR228" s="2">
        <f>IF(ISNA(VLOOKUP($CZ228,'Audit Values'!$A$2:$AE$439,2,FALSE)),'Preliminary SO66'!V225,VLOOKUP($CZ228,'Audit Values'!$A$2:$AE$439,22,FALSE))</f>
        <v>0</v>
      </c>
      <c r="CS228" s="1">
        <f t="shared" si="256"/>
        <v>0</v>
      </c>
      <c r="CT228" s="2">
        <f>IF(ISNA(VLOOKUP($CZ228,'Audit Values'!$A$2:$AE$439,2,FALSE)),'Preliminary SO66'!W225,VLOOKUP($CZ228,'Audit Values'!$A$2:$AE$439,23,FALSE))</f>
        <v>0</v>
      </c>
      <c r="CU228" s="1">
        <f t="shared" si="299"/>
        <v>0</v>
      </c>
      <c r="CV228" s="1">
        <f t="shared" si="300"/>
        <v>0</v>
      </c>
      <c r="CW228" s="176">
        <v>0</v>
      </c>
      <c r="CX228" s="2">
        <f>IF(CW228&gt;0,Weightings!$M$11*AR228,0)</f>
        <v>0</v>
      </c>
      <c r="CY228" s="2">
        <f t="shared" si="290"/>
        <v>0</v>
      </c>
      <c r="CZ228" s="108" t="s">
        <v>520</v>
      </c>
    </row>
    <row r="229" spans="1:104">
      <c r="A229" s="82">
        <v>443</v>
      </c>
      <c r="B229" s="4" t="s">
        <v>82</v>
      </c>
      <c r="C229" s="4" t="s">
        <v>855</v>
      </c>
      <c r="D229" s="1">
        <v>5994</v>
      </c>
      <c r="E229" s="1">
        <v>0</v>
      </c>
      <c r="F229" s="1">
        <f t="shared" si="294"/>
        <v>5994</v>
      </c>
      <c r="G229" s="1">
        <v>6154.3</v>
      </c>
      <c r="H229" s="1">
        <v>0</v>
      </c>
      <c r="I229" s="1">
        <f t="shared" si="257"/>
        <v>6154.3</v>
      </c>
      <c r="J229" s="1">
        <f t="shared" si="258"/>
        <v>6194.4</v>
      </c>
      <c r="K229" s="1">
        <f>IF(ISNA(VLOOKUP($CZ229,'Audit Values'!$A$2:$AE$439,2,FALSE)),'Preliminary SO66'!B226,VLOOKUP($CZ229,'Audit Values'!$A$2:$AE$439,31,FALSE))</f>
        <v>6194.4</v>
      </c>
      <c r="L229" s="1">
        <f t="shared" si="259"/>
        <v>6194.4</v>
      </c>
      <c r="M229" s="1">
        <f>IF(ISNA(VLOOKUP($CZ229,'Audit Values'!$A$2:$AE$439,2,FALSE)),'Preliminary SO66'!Z226,VLOOKUP($CZ229,'Audit Values'!$A$2:$AE$439,26,FALSE))</f>
        <v>0</v>
      </c>
      <c r="N229" s="1">
        <f t="shared" si="260"/>
        <v>6194.4</v>
      </c>
      <c r="O229" s="1">
        <f>IF(ISNA(VLOOKUP($CZ229,'Audit Values'!$A$2:$AE$439,2,FALSE)),'Preliminary SO66'!C226,IF(VLOOKUP($CZ229,'Audit Values'!$A$2:$AE$439,28,FALSE)="",VLOOKUP($CZ229,'Audit Values'!$A$2:$AE$439,3,FALSE),VLOOKUP($CZ229,'Audit Values'!$A$2:$AE$439,28,FALSE)))</f>
        <v>74.5</v>
      </c>
      <c r="P229" s="109">
        <f t="shared" si="261"/>
        <v>6268.9</v>
      </c>
      <c r="Q229" s="110">
        <f t="shared" si="262"/>
        <v>6268.9</v>
      </c>
      <c r="R229" s="111">
        <f t="shared" si="263"/>
        <v>6268.9</v>
      </c>
      <c r="S229" s="1">
        <f t="shared" si="264"/>
        <v>6268.9</v>
      </c>
      <c r="T229" s="1">
        <f t="shared" si="293"/>
        <v>0</v>
      </c>
      <c r="U229" s="1">
        <f t="shared" si="265"/>
        <v>219.7</v>
      </c>
      <c r="V229" s="1">
        <f t="shared" si="251"/>
        <v>0</v>
      </c>
      <c r="W229" s="1">
        <f t="shared" si="252"/>
        <v>219.7</v>
      </c>
      <c r="X229" s="1">
        <f>IF(ISNA(VLOOKUP($CZ229,'Audit Values'!$A$2:$AE$439,2,FALSE)),'Preliminary SO66'!D226,VLOOKUP($CZ229,'Audit Values'!$A$2:$AE$439,4,FALSE))</f>
        <v>1480.7</v>
      </c>
      <c r="Y229" s="1">
        <f>ROUND((X229/6)*Weightings!$M$6,1)</f>
        <v>123.4</v>
      </c>
      <c r="Z229" s="1">
        <f>IF(ISNA(VLOOKUP($CZ229,'Audit Values'!$A$2:$AE$439,2,FALSE)),'Preliminary SO66'!F226,VLOOKUP($CZ229,'Audit Values'!$A$2:$AE$439,6,FALSE))</f>
        <v>13590.9</v>
      </c>
      <c r="AA229" s="1">
        <f>ROUND((Z229/6)*Weightings!$M$7,1)</f>
        <v>894.7</v>
      </c>
      <c r="AB229" s="2">
        <f>IF(ISNA(VLOOKUP($CZ229,'Audit Values'!$A$2:$AE$439,2,FALSE)),'Preliminary SO66'!H226,VLOOKUP($CZ229,'Audit Values'!$A$2:$AE$439,8,FALSE))</f>
        <v>4616</v>
      </c>
      <c r="AC229" s="1">
        <f>ROUND(AB229*Weightings!$M$8,1)</f>
        <v>2104.9</v>
      </c>
      <c r="AD229" s="1">
        <f t="shared" si="249"/>
        <v>484.7</v>
      </c>
      <c r="AE229" s="185">
        <v>428</v>
      </c>
      <c r="AF229" s="1">
        <f>AE229*Weightings!$M$9</f>
        <v>19.899999999999999</v>
      </c>
      <c r="AG229" s="1">
        <f>IF(ISNA(VLOOKUP($CZ229,'Audit Values'!$A$2:$AE$439,2,FALSE)),'Preliminary SO66'!L226,VLOOKUP($CZ229,'Audit Values'!$A$2:$AE$439,12,FALSE))</f>
        <v>29.9</v>
      </c>
      <c r="AH229" s="1">
        <f>ROUND(AG229*Weightings!$M$10,1)</f>
        <v>7.5</v>
      </c>
      <c r="AI229" s="1">
        <f>IF(ISNA(VLOOKUP($CZ229,'Audit Values'!$A$2:$AE$439,2,FALSE)),'Preliminary SO66'!O226,VLOOKUP($CZ229,'Audit Values'!$A$2:$AE$439,15,FALSE))</f>
        <v>2483</v>
      </c>
      <c r="AJ229" s="1">
        <f t="shared" si="266"/>
        <v>433.8</v>
      </c>
      <c r="AK229" s="1">
        <f>CC229/Weightings!$M$5</f>
        <v>0</v>
      </c>
      <c r="AL229" s="1">
        <f>CD229/Weightings!$M$5</f>
        <v>0</v>
      </c>
      <c r="AM229" s="1">
        <f>CH229/Weightings!$M$5</f>
        <v>0</v>
      </c>
      <c r="AN229" s="1">
        <f t="shared" si="253"/>
        <v>0</v>
      </c>
      <c r="AO229" s="1">
        <f>IF(ISNA(VLOOKUP($CZ229,'Audit Values'!$A$2:$AE$439,2,FALSE)),'Preliminary SO66'!X226,VLOOKUP($CZ229,'Audit Values'!$A$2:$AE$439,24,FALSE))</f>
        <v>0</v>
      </c>
      <c r="AP229" s="188">
        <v>4747990</v>
      </c>
      <c r="AQ229" s="113">
        <f>AP229/Weightings!$M$5</f>
        <v>1237.0999999999999</v>
      </c>
      <c r="AR229" s="113">
        <f t="shared" si="267"/>
        <v>10557.5</v>
      </c>
      <c r="AS229" s="1">
        <f t="shared" si="268"/>
        <v>11794.6</v>
      </c>
      <c r="AT229" s="1">
        <f t="shared" si="269"/>
        <v>11794.6</v>
      </c>
      <c r="AU229" s="2">
        <f t="shared" si="283"/>
        <v>91244</v>
      </c>
      <c r="AV229" s="82">
        <f>IF(ISNA(VLOOKUP($CZ229,'Audit Values'!$A$2:$AC$360,2,FALSE)),"",IF(AND(Weightings!H229&gt;0,VLOOKUP($CZ229,'Audit Values'!$A$2:$AC$360,29,FALSE)&lt;Weightings!H229),Weightings!H229,VLOOKUP($CZ229,'Audit Values'!$A$2:$AC$360,29,FALSE)))</f>
        <v>31</v>
      </c>
      <c r="AW229" s="82" t="str">
        <f>IF(ISNA(VLOOKUP($CZ229,'Audit Values'!$A$2:$AD$360,2,FALSE)),"",VLOOKUP($CZ229,'Audit Values'!$A$2:$AD$360,30,FALSE))</f>
        <v>A</v>
      </c>
      <c r="AX229" s="82" t="str">
        <f>IF(Weightings!G229="","",IF(Weightings!I229="Pending","PX","R"))</f>
        <v>R</v>
      </c>
      <c r="AY229" s="114">
        <f>AR229*Weightings!$M$5+AU229</f>
        <v>40610929</v>
      </c>
      <c r="AZ229" s="2">
        <f>AT229*Weightings!$M$5+AU229</f>
        <v>45358919</v>
      </c>
      <c r="BA229" s="2">
        <f>IF(Weightings!G229&gt;0,Weightings!G229,'Preliminary SO66'!AB226)</f>
        <v>46050143</v>
      </c>
      <c r="BB229" s="2">
        <f t="shared" si="270"/>
        <v>45358919</v>
      </c>
      <c r="BC229" s="124"/>
      <c r="BD229" s="124">
        <f>Weightings!E229</f>
        <v>0</v>
      </c>
      <c r="BE229" s="124">
        <f>Weightings!F229</f>
        <v>0</v>
      </c>
      <c r="BF229" s="2">
        <f t="shared" si="271"/>
        <v>0</v>
      </c>
      <c r="BG229" s="2">
        <f t="shared" si="272"/>
        <v>45358919</v>
      </c>
      <c r="BH229" s="2">
        <f>MAX(ROUND(((AR229-AO229)*4433)+AP229,0),ROUND(((AR229-AO229)*4433)+Weightings!B229,0))</f>
        <v>51613609</v>
      </c>
      <c r="BI229" s="174">
        <v>0.3</v>
      </c>
      <c r="BJ229" s="2">
        <f t="shared" si="298"/>
        <v>15484083</v>
      </c>
      <c r="BK229" s="173">
        <v>15215000</v>
      </c>
      <c r="BL229" s="2">
        <f t="shared" si="246"/>
        <v>15215000</v>
      </c>
      <c r="BM229" s="3">
        <f t="shared" si="284"/>
        <v>0.29480000000000001</v>
      </c>
      <c r="BN229" s="1">
        <f t="shared" si="273"/>
        <v>0</v>
      </c>
      <c r="BO229" s="4" t="b">
        <f t="shared" si="274"/>
        <v>0</v>
      </c>
      <c r="BP229" s="5">
        <f t="shared" si="275"/>
        <v>0</v>
      </c>
      <c r="BQ229" s="6">
        <f t="shared" si="247"/>
        <v>0</v>
      </c>
      <c r="BR229" s="4">
        <f t="shared" si="276"/>
        <v>0</v>
      </c>
      <c r="BS229" s="4" t="b">
        <f t="shared" si="277"/>
        <v>0</v>
      </c>
      <c r="BT229" s="4">
        <f t="shared" si="278"/>
        <v>0</v>
      </c>
      <c r="BU229" s="6">
        <f t="shared" si="248"/>
        <v>0</v>
      </c>
      <c r="BV229" s="1">
        <f t="shared" si="279"/>
        <v>0</v>
      </c>
      <c r="BW229" s="1">
        <f t="shared" si="280"/>
        <v>219.7</v>
      </c>
      <c r="BX229" s="116">
        <v>425.7</v>
      </c>
      <c r="BY229" s="7">
        <f t="shared" si="285"/>
        <v>5.83</v>
      </c>
      <c r="BZ229" s="7">
        <f>IF(ROUND((Weightings!$P$5*BY229^Weightings!$P$6*Weightings!$P$8 ),2)&lt;Weightings!$P$7,Weightings!$P$7,ROUND((Weightings!$P$5*BY229^Weightings!$P$6*Weightings!$P$8 ),2))</f>
        <v>670.38</v>
      </c>
      <c r="CA229" s="8">
        <f>ROUND(BZ229/Weightings!$M$5,4)</f>
        <v>0.17469999999999999</v>
      </c>
      <c r="CB229" s="1">
        <f t="shared" si="286"/>
        <v>433.8</v>
      </c>
      <c r="CC229" s="173">
        <v>0</v>
      </c>
      <c r="CD229" s="173">
        <v>0</v>
      </c>
      <c r="CE229" s="173">
        <v>0</v>
      </c>
      <c r="CF229" s="177">
        <v>0</v>
      </c>
      <c r="CG229" s="2">
        <f>AS229*Weightings!$M$5*CF229</f>
        <v>0</v>
      </c>
      <c r="CH229" s="2">
        <f t="shared" si="250"/>
        <v>0</v>
      </c>
      <c r="CI229" s="117">
        <f t="shared" si="281"/>
        <v>0.73599999999999999</v>
      </c>
      <c r="CJ229" s="4">
        <f t="shared" si="282"/>
        <v>14.7</v>
      </c>
      <c r="CK229" s="1">
        <f t="shared" si="287"/>
        <v>484.7</v>
      </c>
      <c r="CL229" s="1">
        <f t="shared" si="288"/>
        <v>0</v>
      </c>
      <c r="CM229" s="1">
        <f t="shared" si="289"/>
        <v>0</v>
      </c>
      <c r="CN229" s="1">
        <f>IF(ISNA(VLOOKUP($CZ229,'Audit Values'!$A$2:$AE$439,2,FALSE)),'Preliminary SO66'!T226,VLOOKUP($CZ229,'Audit Values'!$A$2:$AE$439,20,FALSE))</f>
        <v>0</v>
      </c>
      <c r="CO229" s="1">
        <f t="shared" si="254"/>
        <v>0</v>
      </c>
      <c r="CP229" s="183">
        <v>0</v>
      </c>
      <c r="CQ229" s="1">
        <f t="shared" si="255"/>
        <v>0</v>
      </c>
      <c r="CR229" s="2">
        <f>IF(ISNA(VLOOKUP($CZ229,'Audit Values'!$A$2:$AE$439,2,FALSE)),'Preliminary SO66'!V226,VLOOKUP($CZ229,'Audit Values'!$A$2:$AE$439,22,FALSE))</f>
        <v>0</v>
      </c>
      <c r="CS229" s="1">
        <f t="shared" si="256"/>
        <v>0</v>
      </c>
      <c r="CT229" s="2">
        <f>IF(ISNA(VLOOKUP($CZ229,'Audit Values'!$A$2:$AE$439,2,FALSE)),'Preliminary SO66'!W226,VLOOKUP($CZ229,'Audit Values'!$A$2:$AE$439,23,FALSE))</f>
        <v>0</v>
      </c>
      <c r="CU229" s="1">
        <f t="shared" ref="CU229:CU266" si="301">CT229*0.08</f>
        <v>0</v>
      </c>
      <c r="CV229" s="1">
        <f t="shared" ref="CV229:CV266" si="302">CO229+CQ229+CS229+CU229</f>
        <v>0</v>
      </c>
      <c r="CW229" s="176">
        <v>91244</v>
      </c>
      <c r="CX229" s="2">
        <f>IF(CW229&gt;0,Weightings!$M$11*AR229,0)</f>
        <v>2639375</v>
      </c>
      <c r="CY229" s="2">
        <f t="shared" si="290"/>
        <v>91244</v>
      </c>
      <c r="CZ229" s="108" t="s">
        <v>521</v>
      </c>
    </row>
    <row r="230" spans="1:104">
      <c r="A230" s="82">
        <v>444</v>
      </c>
      <c r="B230" s="4" t="s">
        <v>78</v>
      </c>
      <c r="C230" s="4" t="s">
        <v>856</v>
      </c>
      <c r="D230" s="1">
        <v>334.2</v>
      </c>
      <c r="E230" s="1">
        <v>0</v>
      </c>
      <c r="F230" s="1">
        <f t="shared" si="294"/>
        <v>334.2</v>
      </c>
      <c r="G230" s="1">
        <v>356.5</v>
      </c>
      <c r="H230" s="1">
        <v>0</v>
      </c>
      <c r="I230" s="1">
        <f t="shared" si="257"/>
        <v>356.5</v>
      </c>
      <c r="J230" s="1">
        <f t="shared" si="258"/>
        <v>330.9</v>
      </c>
      <c r="K230" s="1">
        <f>IF(ISNA(VLOOKUP($CZ230,'Audit Values'!$A$2:$AE$439,2,FALSE)),'Preliminary SO66'!B227,VLOOKUP($CZ230,'Audit Values'!$A$2:$AE$439,31,FALSE))</f>
        <v>325.89999999999998</v>
      </c>
      <c r="L230" s="1">
        <f t="shared" si="259"/>
        <v>356.5</v>
      </c>
      <c r="M230" s="1">
        <f>IF(ISNA(VLOOKUP($CZ230,'Audit Values'!$A$2:$AE$439,2,FALSE)),'Preliminary SO66'!Z227,VLOOKUP($CZ230,'Audit Values'!$A$2:$AE$439,26,FALSE))</f>
        <v>0</v>
      </c>
      <c r="N230" s="1">
        <f t="shared" si="260"/>
        <v>356.5</v>
      </c>
      <c r="O230" s="1">
        <f>IF(ISNA(VLOOKUP($CZ230,'Audit Values'!$A$2:$AE$439,2,FALSE)),'Preliminary SO66'!C227,IF(VLOOKUP($CZ230,'Audit Values'!$A$2:$AE$439,28,FALSE)="",VLOOKUP($CZ230,'Audit Values'!$A$2:$AE$439,3,FALSE),VLOOKUP($CZ230,'Audit Values'!$A$2:$AE$439,28,FALSE)))</f>
        <v>2.5</v>
      </c>
      <c r="P230" s="109">
        <f t="shared" si="261"/>
        <v>328.4</v>
      </c>
      <c r="Q230" s="110">
        <f t="shared" si="262"/>
        <v>333.4</v>
      </c>
      <c r="R230" s="111">
        <f t="shared" si="263"/>
        <v>333.4</v>
      </c>
      <c r="S230" s="1">
        <f t="shared" si="264"/>
        <v>359</v>
      </c>
      <c r="T230" s="1">
        <f t="shared" si="293"/>
        <v>5</v>
      </c>
      <c r="U230" s="1">
        <f t="shared" si="265"/>
        <v>166.6</v>
      </c>
      <c r="V230" s="1">
        <f t="shared" si="251"/>
        <v>166.6</v>
      </c>
      <c r="W230" s="1">
        <f t="shared" si="252"/>
        <v>0</v>
      </c>
      <c r="X230" s="1">
        <f>IF(ISNA(VLOOKUP($CZ230,'Audit Values'!$A$2:$AE$439,2,FALSE)),'Preliminary SO66'!D227,VLOOKUP($CZ230,'Audit Values'!$A$2:$AE$439,4,FALSE))</f>
        <v>39.9</v>
      </c>
      <c r="Y230" s="1">
        <f>ROUND((X230/6)*Weightings!$M$6,1)</f>
        <v>3.3</v>
      </c>
      <c r="Z230" s="1">
        <f>IF(ISNA(VLOOKUP($CZ230,'Audit Values'!$A$2:$AE$439,2,FALSE)),'Preliminary SO66'!F227,VLOOKUP($CZ230,'Audit Values'!$A$2:$AE$439,6,FALSE))</f>
        <v>1</v>
      </c>
      <c r="AA230" s="1">
        <f>ROUND((Z230/6)*Weightings!$M$7,1)</f>
        <v>0.1</v>
      </c>
      <c r="AB230" s="2">
        <f>IF(ISNA(VLOOKUP($CZ230,'Audit Values'!$A$2:$AE$439,2,FALSE)),'Preliminary SO66'!H227,VLOOKUP($CZ230,'Audit Values'!$A$2:$AE$439,8,FALSE))</f>
        <v>99</v>
      </c>
      <c r="AC230" s="1">
        <f>ROUND(AB230*Weightings!$M$8,1)</f>
        <v>45.1</v>
      </c>
      <c r="AD230" s="1">
        <f t="shared" si="249"/>
        <v>0</v>
      </c>
      <c r="AE230" s="185">
        <v>22</v>
      </c>
      <c r="AF230" s="1">
        <f>AE230*Weightings!$M$9</f>
        <v>1</v>
      </c>
      <c r="AG230" s="1">
        <f>IF(ISNA(VLOOKUP($CZ230,'Audit Values'!$A$2:$AE$439,2,FALSE)),'Preliminary SO66'!L227,VLOOKUP($CZ230,'Audit Values'!$A$2:$AE$439,12,FALSE))</f>
        <v>0</v>
      </c>
      <c r="AH230" s="1">
        <f>ROUND(AG230*Weightings!$M$10,1)</f>
        <v>0</v>
      </c>
      <c r="AI230" s="1">
        <f>IF(ISNA(VLOOKUP($CZ230,'Audit Values'!$A$2:$AE$439,2,FALSE)),'Preliminary SO66'!O227,VLOOKUP($CZ230,'Audit Values'!$A$2:$AE$439,15,FALSE))</f>
        <v>187.5</v>
      </c>
      <c r="AJ230" s="1">
        <f t="shared" si="266"/>
        <v>52</v>
      </c>
      <c r="AK230" s="1">
        <f>CC230/Weightings!$M$5</f>
        <v>0</v>
      </c>
      <c r="AL230" s="1">
        <f>CD230/Weightings!$M$5</f>
        <v>0</v>
      </c>
      <c r="AM230" s="1">
        <f>CH230/Weightings!$M$5</f>
        <v>0</v>
      </c>
      <c r="AN230" s="1">
        <f t="shared" si="253"/>
        <v>5.3</v>
      </c>
      <c r="AO230" s="1">
        <f>IF(ISNA(VLOOKUP($CZ230,'Audit Values'!$A$2:$AE$439,2,FALSE)),'Preliminary SO66'!X227,VLOOKUP($CZ230,'Audit Values'!$A$2:$AE$439,24,FALSE))</f>
        <v>0</v>
      </c>
      <c r="AP230" s="188">
        <v>429641</v>
      </c>
      <c r="AQ230" s="113">
        <f>AP230/Weightings!$M$5</f>
        <v>111.9</v>
      </c>
      <c r="AR230" s="113">
        <f t="shared" si="267"/>
        <v>632.4</v>
      </c>
      <c r="AS230" s="1">
        <f t="shared" si="268"/>
        <v>744.3</v>
      </c>
      <c r="AT230" s="1">
        <f t="shared" si="269"/>
        <v>744.3</v>
      </c>
      <c r="AU230" s="2">
        <f t="shared" si="283"/>
        <v>0</v>
      </c>
      <c r="AV230" s="82">
        <f>IF(ISNA(VLOOKUP($CZ230,'Audit Values'!$A$2:$AC$360,2,FALSE)),"",IF(AND(Weightings!H230&gt;0,VLOOKUP($CZ230,'Audit Values'!$A$2:$AC$360,29,FALSE)&lt;Weightings!H230),Weightings!H230,VLOOKUP($CZ230,'Audit Values'!$A$2:$AC$360,29,FALSE)))</f>
        <v>21</v>
      </c>
      <c r="AW230" s="82" t="str">
        <f>IF(ISNA(VLOOKUP($CZ230,'Audit Values'!$A$2:$AD$360,2,FALSE)),"",VLOOKUP($CZ230,'Audit Values'!$A$2:$AD$360,30,FALSE))</f>
        <v>A</v>
      </c>
      <c r="AX230" s="82" t="str">
        <f>IF(Weightings!G230="","",IF(Weightings!I230="Pending","PX","R"))</f>
        <v/>
      </c>
      <c r="AY230" s="114">
        <f>AR230*Weightings!$M$5+AU230</f>
        <v>2427151</v>
      </c>
      <c r="AZ230" s="2">
        <f>AT230*Weightings!$M$5+AU230</f>
        <v>2856623</v>
      </c>
      <c r="BA230" s="2">
        <f>IF(Weightings!G230&gt;0,Weightings!G230,'Preliminary SO66'!AB227)</f>
        <v>2877349</v>
      </c>
      <c r="BB230" s="2">
        <f t="shared" si="270"/>
        <v>2856623</v>
      </c>
      <c r="BC230" s="124"/>
      <c r="BD230" s="124">
        <f>Weightings!E230</f>
        <v>0</v>
      </c>
      <c r="BE230" s="124">
        <f>Weightings!F230</f>
        <v>0</v>
      </c>
      <c r="BF230" s="2">
        <f t="shared" si="271"/>
        <v>0</v>
      </c>
      <c r="BG230" s="2">
        <f t="shared" si="272"/>
        <v>2856623</v>
      </c>
      <c r="BH230" s="2">
        <f>MAX(ROUND(((AR230-AO230)*4433)+AP230,0),ROUND(((AR230-AO230)*4433)+Weightings!B230,0))</f>
        <v>3233070</v>
      </c>
      <c r="BI230" s="174">
        <v>0.3</v>
      </c>
      <c r="BJ230" s="2">
        <f t="shared" si="298"/>
        <v>969921</v>
      </c>
      <c r="BK230" s="173">
        <v>800000</v>
      </c>
      <c r="BL230" s="2">
        <f t="shared" si="246"/>
        <v>800000</v>
      </c>
      <c r="BM230" s="3">
        <f t="shared" si="284"/>
        <v>0.24740000000000001</v>
      </c>
      <c r="BN230" s="1">
        <f t="shared" si="273"/>
        <v>0</v>
      </c>
      <c r="BO230" s="4" t="b">
        <f t="shared" si="274"/>
        <v>0</v>
      </c>
      <c r="BP230" s="5">
        <f t="shared" si="275"/>
        <v>0</v>
      </c>
      <c r="BQ230" s="6">
        <f t="shared" si="247"/>
        <v>0</v>
      </c>
      <c r="BR230" s="4">
        <f t="shared" si="276"/>
        <v>0</v>
      </c>
      <c r="BS230" s="4" t="b">
        <f t="shared" si="277"/>
        <v>1</v>
      </c>
      <c r="BT230" s="4">
        <f t="shared" si="278"/>
        <v>73.012500000000003</v>
      </c>
      <c r="BU230" s="6">
        <f t="shared" si="248"/>
        <v>0.46414100000000003</v>
      </c>
      <c r="BV230" s="1">
        <f t="shared" si="279"/>
        <v>166.6</v>
      </c>
      <c r="BW230" s="1">
        <f t="shared" si="280"/>
        <v>0</v>
      </c>
      <c r="BX230" s="116">
        <v>244.5</v>
      </c>
      <c r="BY230" s="7">
        <f t="shared" si="285"/>
        <v>0.77</v>
      </c>
      <c r="BZ230" s="7">
        <f>IF(ROUND((Weightings!$P$5*BY230^Weightings!$P$6*Weightings!$P$8 ),2)&lt;Weightings!$P$7,Weightings!$P$7,ROUND((Weightings!$P$5*BY230^Weightings!$P$6*Weightings!$P$8 ),2))</f>
        <v>1063.81</v>
      </c>
      <c r="CA230" s="8">
        <f>ROUND(BZ230/Weightings!$M$5,4)</f>
        <v>0.2772</v>
      </c>
      <c r="CB230" s="1">
        <f t="shared" si="286"/>
        <v>52</v>
      </c>
      <c r="CC230" s="173">
        <v>0</v>
      </c>
      <c r="CD230" s="173">
        <v>0</v>
      </c>
      <c r="CE230" s="173">
        <v>0</v>
      </c>
      <c r="CF230" s="177">
        <v>0</v>
      </c>
      <c r="CG230" s="2">
        <f>AS230*Weightings!$M$5*CF230</f>
        <v>0</v>
      </c>
      <c r="CH230" s="2">
        <f t="shared" si="250"/>
        <v>0</v>
      </c>
      <c r="CI230" s="117">
        <f t="shared" si="281"/>
        <v>0.27600000000000002</v>
      </c>
      <c r="CJ230" s="4">
        <f t="shared" si="282"/>
        <v>1.5</v>
      </c>
      <c r="CK230" s="1">
        <f t="shared" si="287"/>
        <v>0</v>
      </c>
      <c r="CL230" s="1">
        <f t="shared" si="288"/>
        <v>0</v>
      </c>
      <c r="CM230" s="1">
        <f t="shared" si="289"/>
        <v>0</v>
      </c>
      <c r="CN230" s="1">
        <f>IF(ISNA(VLOOKUP($CZ230,'Audit Values'!$A$2:$AE$439,2,FALSE)),'Preliminary SO66'!T227,VLOOKUP($CZ230,'Audit Values'!$A$2:$AE$439,20,FALSE))</f>
        <v>5</v>
      </c>
      <c r="CO230" s="1">
        <f t="shared" si="254"/>
        <v>5.3</v>
      </c>
      <c r="CP230" s="181">
        <v>0</v>
      </c>
      <c r="CQ230" s="1">
        <f t="shared" si="255"/>
        <v>0</v>
      </c>
      <c r="CR230" s="2">
        <f>IF(ISNA(VLOOKUP($CZ230,'Audit Values'!$A$2:$AE$439,2,FALSE)),'Preliminary SO66'!V227,VLOOKUP($CZ230,'Audit Values'!$A$2:$AE$439,22,FALSE))</f>
        <v>0</v>
      </c>
      <c r="CS230" s="1">
        <f t="shared" si="256"/>
        <v>0</v>
      </c>
      <c r="CT230" s="2">
        <f>IF(ISNA(VLOOKUP($CZ230,'Audit Values'!$A$2:$AE$439,2,FALSE)),'Preliminary SO66'!W227,VLOOKUP($CZ230,'Audit Values'!$A$2:$AE$439,23,FALSE))</f>
        <v>0</v>
      </c>
      <c r="CU230" s="1">
        <f t="shared" si="301"/>
        <v>0</v>
      </c>
      <c r="CV230" s="1">
        <f t="shared" si="302"/>
        <v>5.3</v>
      </c>
      <c r="CW230" s="176">
        <v>0</v>
      </c>
      <c r="CX230" s="2">
        <f>IF(CW230&gt;0,Weightings!$M$11*AR230,0)</f>
        <v>0</v>
      </c>
      <c r="CY230" s="2">
        <f t="shared" si="290"/>
        <v>0</v>
      </c>
      <c r="CZ230" s="108" t="s">
        <v>522</v>
      </c>
    </row>
    <row r="231" spans="1:104">
      <c r="A231" s="82">
        <v>445</v>
      </c>
      <c r="B231" s="4" t="s">
        <v>101</v>
      </c>
      <c r="C231" s="4" t="s">
        <v>857</v>
      </c>
      <c r="D231" s="1">
        <v>1753.2</v>
      </c>
      <c r="E231" s="1">
        <v>0</v>
      </c>
      <c r="F231" s="1">
        <f t="shared" si="294"/>
        <v>1753.2</v>
      </c>
      <c r="G231" s="1">
        <v>1746.6</v>
      </c>
      <c r="H231" s="1">
        <v>0</v>
      </c>
      <c r="I231" s="1">
        <f t="shared" si="257"/>
        <v>1746.6</v>
      </c>
      <c r="J231" s="1">
        <f t="shared" si="258"/>
        <v>1704.1</v>
      </c>
      <c r="K231" s="1">
        <f>IF(ISNA(VLOOKUP($CZ231,'Audit Values'!$A$2:$AE$439,2,FALSE)),'Preliminary SO66'!B228,VLOOKUP($CZ231,'Audit Values'!$A$2:$AE$439,31,FALSE))</f>
        <v>1701.1</v>
      </c>
      <c r="L231" s="1">
        <f t="shared" si="259"/>
        <v>1746.6</v>
      </c>
      <c r="M231" s="1">
        <f>IF(ISNA(VLOOKUP($CZ231,'Audit Values'!$A$2:$AE$439,2,FALSE)),'Preliminary SO66'!Z228,VLOOKUP($CZ231,'Audit Values'!$A$2:$AE$439,26,FALSE))</f>
        <v>0</v>
      </c>
      <c r="N231" s="1">
        <f t="shared" si="260"/>
        <v>1746.6</v>
      </c>
      <c r="O231" s="1">
        <f>IF(ISNA(VLOOKUP($CZ231,'Audit Values'!$A$2:$AE$439,2,FALSE)),'Preliminary SO66'!C228,IF(VLOOKUP($CZ231,'Audit Values'!$A$2:$AE$439,28,FALSE)="",VLOOKUP($CZ231,'Audit Values'!$A$2:$AE$439,3,FALSE),VLOOKUP($CZ231,'Audit Values'!$A$2:$AE$439,28,FALSE)))</f>
        <v>28</v>
      </c>
      <c r="P231" s="109">
        <f t="shared" si="261"/>
        <v>1729.1</v>
      </c>
      <c r="Q231" s="110">
        <f t="shared" si="262"/>
        <v>1732.1</v>
      </c>
      <c r="R231" s="111">
        <f t="shared" si="263"/>
        <v>1732.1</v>
      </c>
      <c r="S231" s="1">
        <f t="shared" si="264"/>
        <v>1774.6</v>
      </c>
      <c r="T231" s="1">
        <f t="shared" si="293"/>
        <v>3</v>
      </c>
      <c r="U231" s="1">
        <f t="shared" si="265"/>
        <v>62.2</v>
      </c>
      <c r="V231" s="1">
        <f t="shared" si="251"/>
        <v>0</v>
      </c>
      <c r="W231" s="1">
        <f t="shared" si="252"/>
        <v>62.2</v>
      </c>
      <c r="X231" s="1">
        <f>IF(ISNA(VLOOKUP($CZ231,'Audit Values'!$A$2:$AE$439,2,FALSE)),'Preliminary SO66'!D228,VLOOKUP($CZ231,'Audit Values'!$A$2:$AE$439,4,FALSE))</f>
        <v>553.5</v>
      </c>
      <c r="Y231" s="1">
        <f>ROUND((X231/6)*Weightings!$M$6,1)</f>
        <v>46.1</v>
      </c>
      <c r="Z231" s="1">
        <f>IF(ISNA(VLOOKUP($CZ231,'Audit Values'!$A$2:$AE$439,2,FALSE)),'Preliminary SO66'!F228,VLOOKUP($CZ231,'Audit Values'!$A$2:$AE$439,6,FALSE))</f>
        <v>157.30000000000001</v>
      </c>
      <c r="AA231" s="1">
        <f>ROUND((Z231/6)*Weightings!$M$7,1)</f>
        <v>10.4</v>
      </c>
      <c r="AB231" s="2">
        <f>IF(ISNA(VLOOKUP($CZ231,'Audit Values'!$A$2:$AE$439,2,FALSE)),'Preliminary SO66'!H228,VLOOKUP($CZ231,'Audit Values'!$A$2:$AE$439,8,FALSE))</f>
        <v>1201</v>
      </c>
      <c r="AC231" s="1">
        <f>ROUND(AB231*Weightings!$M$8,1)</f>
        <v>547.70000000000005</v>
      </c>
      <c r="AD231" s="1">
        <f t="shared" si="249"/>
        <v>126.1</v>
      </c>
      <c r="AE231" s="185">
        <v>145</v>
      </c>
      <c r="AF231" s="1">
        <f>AE231*Weightings!$M$9</f>
        <v>6.7</v>
      </c>
      <c r="AG231" s="1">
        <f>IF(ISNA(VLOOKUP($CZ231,'Audit Values'!$A$2:$AE$439,2,FALSE)),'Preliminary SO66'!L228,VLOOKUP($CZ231,'Audit Values'!$A$2:$AE$439,12,FALSE))</f>
        <v>0</v>
      </c>
      <c r="AH231" s="1">
        <f>ROUND(AG231*Weightings!$M$10,1)</f>
        <v>0</v>
      </c>
      <c r="AI231" s="1">
        <f>IF(ISNA(VLOOKUP($CZ231,'Audit Values'!$A$2:$AE$439,2,FALSE)),'Preliminary SO66'!O228,VLOOKUP($CZ231,'Audit Values'!$A$2:$AE$439,15,FALSE))</f>
        <v>450</v>
      </c>
      <c r="AJ231" s="1">
        <f t="shared" si="266"/>
        <v>86.9</v>
      </c>
      <c r="AK231" s="1">
        <f>CC231/Weightings!$M$5</f>
        <v>0</v>
      </c>
      <c r="AL231" s="1">
        <f>CD231/Weightings!$M$5</f>
        <v>0</v>
      </c>
      <c r="AM231" s="1">
        <f>CH231/Weightings!$M$5</f>
        <v>0</v>
      </c>
      <c r="AN231" s="1">
        <f t="shared" si="253"/>
        <v>3.2</v>
      </c>
      <c r="AO231" s="1">
        <f>IF(ISNA(VLOOKUP($CZ231,'Audit Values'!$A$2:$AE$439,2,FALSE)),'Preliminary SO66'!X228,VLOOKUP($CZ231,'Audit Values'!$A$2:$AE$439,24,FALSE))</f>
        <v>0</v>
      </c>
      <c r="AP231" s="188">
        <v>1397545</v>
      </c>
      <c r="AQ231" s="113">
        <f>AP231/Weightings!$M$5</f>
        <v>364.1</v>
      </c>
      <c r="AR231" s="113">
        <f t="shared" si="267"/>
        <v>2663.9</v>
      </c>
      <c r="AS231" s="1">
        <f t="shared" si="268"/>
        <v>3028</v>
      </c>
      <c r="AT231" s="1">
        <f t="shared" si="269"/>
        <v>3028</v>
      </c>
      <c r="AU231" s="2">
        <f t="shared" si="283"/>
        <v>0</v>
      </c>
      <c r="AV231" s="82">
        <f>IF(ISNA(VLOOKUP($CZ231,'Audit Values'!$A$2:$AC$360,2,FALSE)),"",IF(AND(Weightings!H231&gt;0,VLOOKUP($CZ231,'Audit Values'!$A$2:$AC$360,29,FALSE)&lt;Weightings!H231),Weightings!H231,VLOOKUP($CZ231,'Audit Values'!$A$2:$AC$360,29,FALSE)))</f>
        <v>15</v>
      </c>
      <c r="AW231" s="82" t="str">
        <f>IF(ISNA(VLOOKUP($CZ231,'Audit Values'!$A$2:$AD$360,2,FALSE)),"",VLOOKUP($CZ231,'Audit Values'!$A$2:$AD$360,30,FALSE))</f>
        <v>A</v>
      </c>
      <c r="AX231" s="82" t="str">
        <f>IF(Weightings!G231="","",IF(Weightings!I231="Pending","PX","R"))</f>
        <v/>
      </c>
      <c r="AY231" s="114">
        <f>AR231*Weightings!$M$5+AU231</f>
        <v>10224048</v>
      </c>
      <c r="AZ231" s="2">
        <f>AT231*Weightings!$M$5+AU231</f>
        <v>11621464</v>
      </c>
      <c r="BA231" s="2">
        <f>IF(Weightings!G231&gt;0,Weightings!G231,'Preliminary SO66'!AB228)</f>
        <v>11913152</v>
      </c>
      <c r="BB231" s="2">
        <f t="shared" si="270"/>
        <v>11621464</v>
      </c>
      <c r="BC231" s="124"/>
      <c r="BD231" s="124">
        <f>Weightings!E231</f>
        <v>0</v>
      </c>
      <c r="BE231" s="124">
        <f>Weightings!F231</f>
        <v>0</v>
      </c>
      <c r="BF231" s="2">
        <f t="shared" si="271"/>
        <v>0</v>
      </c>
      <c r="BG231" s="2">
        <f t="shared" si="272"/>
        <v>11621464</v>
      </c>
      <c r="BH231" s="2">
        <f>MAX(ROUND(((AR231-AO231)*4433)+AP231,0),ROUND(((AR231-AO231)*4433)+Weightings!B231,0))</f>
        <v>13357713</v>
      </c>
      <c r="BI231" s="174">
        <v>0.3</v>
      </c>
      <c r="BJ231" s="2">
        <f t="shared" si="298"/>
        <v>4007314</v>
      </c>
      <c r="BK231" s="173">
        <v>3440004</v>
      </c>
      <c r="BL231" s="2">
        <f t="shared" si="246"/>
        <v>3440004</v>
      </c>
      <c r="BM231" s="3">
        <f t="shared" si="284"/>
        <v>0.25750000000000001</v>
      </c>
      <c r="BN231" s="1">
        <f t="shared" si="273"/>
        <v>0</v>
      </c>
      <c r="BO231" s="4" t="b">
        <f t="shared" si="274"/>
        <v>0</v>
      </c>
      <c r="BP231" s="5">
        <f t="shared" si="275"/>
        <v>0</v>
      </c>
      <c r="BQ231" s="6">
        <f t="shared" si="247"/>
        <v>0</v>
      </c>
      <c r="BR231" s="4">
        <f t="shared" si="276"/>
        <v>0</v>
      </c>
      <c r="BS231" s="4" t="b">
        <f t="shared" si="277"/>
        <v>0</v>
      </c>
      <c r="BT231" s="4">
        <f t="shared" si="278"/>
        <v>0</v>
      </c>
      <c r="BU231" s="6">
        <f t="shared" si="248"/>
        <v>0</v>
      </c>
      <c r="BV231" s="1">
        <f t="shared" si="279"/>
        <v>0</v>
      </c>
      <c r="BW231" s="1">
        <f t="shared" si="280"/>
        <v>62.2</v>
      </c>
      <c r="BX231" s="116">
        <v>120</v>
      </c>
      <c r="BY231" s="7">
        <f t="shared" si="285"/>
        <v>3.75</v>
      </c>
      <c r="BZ231" s="7">
        <f>IF(ROUND((Weightings!$P$5*BY231^Weightings!$P$6*Weightings!$P$8 ),2)&lt;Weightings!$P$7,Weightings!$P$7,ROUND((Weightings!$P$5*BY231^Weightings!$P$6*Weightings!$P$8 ),2))</f>
        <v>741.37</v>
      </c>
      <c r="CA231" s="8">
        <f>ROUND(BZ231/Weightings!$M$5,4)</f>
        <v>0.19320000000000001</v>
      </c>
      <c r="CB231" s="1">
        <f t="shared" si="286"/>
        <v>86.9</v>
      </c>
      <c r="CC231" s="173">
        <v>0</v>
      </c>
      <c r="CD231" s="173">
        <v>0</v>
      </c>
      <c r="CE231" s="173">
        <v>0</v>
      </c>
      <c r="CF231" s="177">
        <v>0</v>
      </c>
      <c r="CG231" s="2">
        <f>AS231*Weightings!$M$5*CF231</f>
        <v>0</v>
      </c>
      <c r="CH231" s="2">
        <f t="shared" si="250"/>
        <v>0</v>
      </c>
      <c r="CI231" s="117">
        <f t="shared" si="281"/>
        <v>0.67700000000000005</v>
      </c>
      <c r="CJ231" s="4">
        <f t="shared" si="282"/>
        <v>14.8</v>
      </c>
      <c r="CK231" s="1">
        <f t="shared" si="287"/>
        <v>126.1</v>
      </c>
      <c r="CL231" s="1">
        <f t="shared" si="288"/>
        <v>0</v>
      </c>
      <c r="CM231" s="1">
        <f t="shared" si="289"/>
        <v>0</v>
      </c>
      <c r="CN231" s="1">
        <f>IF(ISNA(VLOOKUP($CZ231,'Audit Values'!$A$2:$AE$439,2,FALSE)),'Preliminary SO66'!T228,VLOOKUP($CZ231,'Audit Values'!$A$2:$AE$439,20,FALSE))</f>
        <v>3</v>
      </c>
      <c r="CO231" s="1">
        <f t="shared" si="254"/>
        <v>3.2</v>
      </c>
      <c r="CP231" s="181">
        <v>0</v>
      </c>
      <c r="CQ231" s="1">
        <f t="shared" si="255"/>
        <v>0</v>
      </c>
      <c r="CR231" s="2">
        <f>IF(ISNA(VLOOKUP($CZ231,'Audit Values'!$A$2:$AE$439,2,FALSE)),'Preliminary SO66'!V228,VLOOKUP($CZ231,'Audit Values'!$A$2:$AE$439,22,FALSE))</f>
        <v>0</v>
      </c>
      <c r="CS231" s="1">
        <f t="shared" si="256"/>
        <v>0</v>
      </c>
      <c r="CT231" s="2">
        <f>IF(ISNA(VLOOKUP($CZ231,'Audit Values'!$A$2:$AE$439,2,FALSE)),'Preliminary SO66'!W228,VLOOKUP($CZ231,'Audit Values'!$A$2:$AE$439,23,FALSE))</f>
        <v>0</v>
      </c>
      <c r="CU231" s="1">
        <f t="shared" si="301"/>
        <v>0</v>
      </c>
      <c r="CV231" s="1">
        <f t="shared" si="302"/>
        <v>3.2</v>
      </c>
      <c r="CW231" s="176">
        <v>0</v>
      </c>
      <c r="CX231" s="2">
        <f>IF(CW231&gt;0,Weightings!$M$11*AR231,0)</f>
        <v>0</v>
      </c>
      <c r="CY231" s="2">
        <f t="shared" si="290"/>
        <v>0</v>
      </c>
      <c r="CZ231" s="108" t="s">
        <v>523</v>
      </c>
    </row>
    <row r="232" spans="1:104">
      <c r="A232" s="82">
        <v>446</v>
      </c>
      <c r="B232" s="4" t="s">
        <v>101</v>
      </c>
      <c r="C232" s="4" t="s">
        <v>858</v>
      </c>
      <c r="D232" s="1">
        <v>1886.4</v>
      </c>
      <c r="E232" s="1">
        <v>0</v>
      </c>
      <c r="F232" s="1">
        <f t="shared" si="294"/>
        <v>1886.4</v>
      </c>
      <c r="G232" s="1">
        <v>1935.3</v>
      </c>
      <c r="H232" s="1">
        <v>0</v>
      </c>
      <c r="I232" s="1">
        <f t="shared" si="257"/>
        <v>1935.3</v>
      </c>
      <c r="J232" s="1">
        <f t="shared" si="258"/>
        <v>1936.2</v>
      </c>
      <c r="K232" s="1">
        <f>IF(ISNA(VLOOKUP($CZ232,'Audit Values'!$A$2:$AE$439,2,FALSE)),'Preliminary SO66'!B229,VLOOKUP($CZ232,'Audit Values'!$A$2:$AE$439,31,FALSE))</f>
        <v>1936.2</v>
      </c>
      <c r="L232" s="1">
        <f t="shared" si="259"/>
        <v>1936.2</v>
      </c>
      <c r="M232" s="1">
        <f>IF(ISNA(VLOOKUP($CZ232,'Audit Values'!$A$2:$AE$439,2,FALSE)),'Preliminary SO66'!Z229,VLOOKUP($CZ232,'Audit Values'!$A$2:$AE$439,26,FALSE))</f>
        <v>0</v>
      </c>
      <c r="N232" s="1">
        <f t="shared" si="260"/>
        <v>1936.2</v>
      </c>
      <c r="O232" s="1">
        <f>IF(ISNA(VLOOKUP($CZ232,'Audit Values'!$A$2:$AE$439,2,FALSE)),'Preliminary SO66'!C229,IF(VLOOKUP($CZ232,'Audit Values'!$A$2:$AE$439,28,FALSE)="",VLOOKUP($CZ232,'Audit Values'!$A$2:$AE$439,3,FALSE),VLOOKUP($CZ232,'Audit Values'!$A$2:$AE$439,28,FALSE)))</f>
        <v>14</v>
      </c>
      <c r="P232" s="109">
        <f t="shared" si="261"/>
        <v>1950.2</v>
      </c>
      <c r="Q232" s="110">
        <f t="shared" si="262"/>
        <v>1950.2</v>
      </c>
      <c r="R232" s="111">
        <f t="shared" si="263"/>
        <v>1950.2</v>
      </c>
      <c r="S232" s="1">
        <f t="shared" si="264"/>
        <v>1950.2</v>
      </c>
      <c r="T232" s="1">
        <f t="shared" si="293"/>
        <v>0</v>
      </c>
      <c r="U232" s="1">
        <f t="shared" si="265"/>
        <v>68.3</v>
      </c>
      <c r="V232" s="1">
        <f t="shared" si="251"/>
        <v>0</v>
      </c>
      <c r="W232" s="1">
        <f t="shared" si="252"/>
        <v>68.3</v>
      </c>
      <c r="X232" s="1">
        <f>IF(ISNA(VLOOKUP($CZ232,'Audit Values'!$A$2:$AE$439,2,FALSE)),'Preliminary SO66'!D229,VLOOKUP($CZ232,'Audit Values'!$A$2:$AE$439,4,FALSE))</f>
        <v>285</v>
      </c>
      <c r="Y232" s="1">
        <f>ROUND((X232/6)*Weightings!$M$6,1)</f>
        <v>23.8</v>
      </c>
      <c r="Z232" s="1">
        <f>IF(ISNA(VLOOKUP($CZ232,'Audit Values'!$A$2:$AE$439,2,FALSE)),'Preliminary SO66'!F229,VLOOKUP($CZ232,'Audit Values'!$A$2:$AE$439,6,FALSE))</f>
        <v>49.5</v>
      </c>
      <c r="AA232" s="1">
        <f>ROUND((Z232/6)*Weightings!$M$7,1)</f>
        <v>3.3</v>
      </c>
      <c r="AB232" s="2">
        <f>IF(ISNA(VLOOKUP($CZ232,'Audit Values'!$A$2:$AE$439,2,FALSE)),'Preliminary SO66'!H229,VLOOKUP($CZ232,'Audit Values'!$A$2:$AE$439,8,FALSE))</f>
        <v>1046</v>
      </c>
      <c r="AC232" s="1">
        <f>ROUND(AB232*Weightings!$M$8,1)</f>
        <v>477</v>
      </c>
      <c r="AD232" s="1">
        <f t="shared" si="249"/>
        <v>109.8</v>
      </c>
      <c r="AE232" s="185">
        <v>96</v>
      </c>
      <c r="AF232" s="1">
        <f>AE232*Weightings!$M$9</f>
        <v>4.5</v>
      </c>
      <c r="AG232" s="1">
        <f>IF(ISNA(VLOOKUP($CZ232,'Audit Values'!$A$2:$AE$439,2,FALSE)),'Preliminary SO66'!L229,VLOOKUP($CZ232,'Audit Values'!$A$2:$AE$439,12,FALSE))</f>
        <v>0</v>
      </c>
      <c r="AH232" s="1">
        <f>ROUND(AG232*Weightings!$M$10,1)</f>
        <v>0</v>
      </c>
      <c r="AI232" s="1">
        <f>IF(ISNA(VLOOKUP($CZ232,'Audit Values'!$A$2:$AE$439,2,FALSE)),'Preliminary SO66'!O229,VLOOKUP($CZ232,'Audit Values'!$A$2:$AE$439,15,FALSE))</f>
        <v>441.1</v>
      </c>
      <c r="AJ232" s="1">
        <f t="shared" si="266"/>
        <v>97.4</v>
      </c>
      <c r="AK232" s="1">
        <f>CC232/Weightings!$M$5</f>
        <v>0</v>
      </c>
      <c r="AL232" s="1">
        <f>CD232/Weightings!$M$5</f>
        <v>0</v>
      </c>
      <c r="AM232" s="1">
        <f>CH232/Weightings!$M$5</f>
        <v>0</v>
      </c>
      <c r="AN232" s="1">
        <f t="shared" si="253"/>
        <v>0</v>
      </c>
      <c r="AO232" s="1">
        <f>IF(ISNA(VLOOKUP($CZ232,'Audit Values'!$A$2:$AE$439,2,FALSE)),'Preliminary SO66'!X229,VLOOKUP($CZ232,'Audit Values'!$A$2:$AE$439,24,FALSE))</f>
        <v>0</v>
      </c>
      <c r="AP232" s="188">
        <v>1393058</v>
      </c>
      <c r="AQ232" s="113">
        <f>AP232/Weightings!$M$5</f>
        <v>363</v>
      </c>
      <c r="AR232" s="113">
        <f t="shared" si="267"/>
        <v>2734.3</v>
      </c>
      <c r="AS232" s="1">
        <f t="shared" si="268"/>
        <v>3097.3</v>
      </c>
      <c r="AT232" s="1">
        <f t="shared" si="269"/>
        <v>3097.3</v>
      </c>
      <c r="AU232" s="2">
        <f t="shared" si="283"/>
        <v>0</v>
      </c>
      <c r="AV232" s="82">
        <f>IF(ISNA(VLOOKUP($CZ232,'Audit Values'!$A$2:$AC$360,2,FALSE)),"",IF(AND(Weightings!H232&gt;0,VLOOKUP($CZ232,'Audit Values'!$A$2:$AC$360,29,FALSE)&lt;Weightings!H232),Weightings!H232,VLOOKUP($CZ232,'Audit Values'!$A$2:$AC$360,29,FALSE)))</f>
        <v>31</v>
      </c>
      <c r="AW232" s="82" t="str">
        <f>IF(ISNA(VLOOKUP($CZ232,'Audit Values'!$A$2:$AD$360,2,FALSE)),"",VLOOKUP($CZ232,'Audit Values'!$A$2:$AD$360,30,FALSE))</f>
        <v>A</v>
      </c>
      <c r="AX232" s="82" t="str">
        <f>IF(Weightings!G232="","",IF(Weightings!I232="Pending","PX","R"))</f>
        <v/>
      </c>
      <c r="AY232" s="114">
        <f>AR232*Weightings!$M$5+AU232</f>
        <v>10494243</v>
      </c>
      <c r="AZ232" s="2">
        <f>AT232*Weightings!$M$5+AU232</f>
        <v>11887437</v>
      </c>
      <c r="BA232" s="2">
        <f>IF(Weightings!G232&gt;0,Weightings!G232,'Preliminary SO66'!AB229)</f>
        <v>12185650</v>
      </c>
      <c r="BB232" s="2">
        <f t="shared" si="270"/>
        <v>11887437</v>
      </c>
      <c r="BC232" s="124"/>
      <c r="BD232" s="124">
        <f>Weightings!E232</f>
        <v>0</v>
      </c>
      <c r="BE232" s="124">
        <f>Weightings!F232</f>
        <v>0</v>
      </c>
      <c r="BF232" s="2">
        <f t="shared" si="271"/>
        <v>0</v>
      </c>
      <c r="BG232" s="2">
        <f t="shared" si="272"/>
        <v>11887437</v>
      </c>
      <c r="BH232" s="2">
        <f>MAX(ROUND(((AR232-AO232)*4433)+AP232,0),ROUND(((AR232-AO232)*4433)+Weightings!B232,0))</f>
        <v>13532001</v>
      </c>
      <c r="BI232" s="174">
        <v>0.3</v>
      </c>
      <c r="BJ232" s="2">
        <f t="shared" si="298"/>
        <v>4059600</v>
      </c>
      <c r="BK232" s="173">
        <v>4129858</v>
      </c>
      <c r="BL232" s="2">
        <f t="shared" si="246"/>
        <v>4059600</v>
      </c>
      <c r="BM232" s="3">
        <f t="shared" si="284"/>
        <v>0.3</v>
      </c>
      <c r="BN232" s="1">
        <f t="shared" si="273"/>
        <v>0</v>
      </c>
      <c r="BO232" s="4" t="b">
        <f t="shared" si="274"/>
        <v>0</v>
      </c>
      <c r="BP232" s="5">
        <f t="shared" si="275"/>
        <v>0</v>
      </c>
      <c r="BQ232" s="6">
        <f t="shared" si="247"/>
        <v>0</v>
      </c>
      <c r="BR232" s="4">
        <f t="shared" si="276"/>
        <v>0</v>
      </c>
      <c r="BS232" s="4" t="b">
        <f t="shared" si="277"/>
        <v>0</v>
      </c>
      <c r="BT232" s="4">
        <f t="shared" si="278"/>
        <v>0</v>
      </c>
      <c r="BU232" s="6">
        <f t="shared" si="248"/>
        <v>0</v>
      </c>
      <c r="BV232" s="1">
        <f t="shared" si="279"/>
        <v>0</v>
      </c>
      <c r="BW232" s="1">
        <f t="shared" si="280"/>
        <v>68.3</v>
      </c>
      <c r="BX232" s="116">
        <v>210.9</v>
      </c>
      <c r="BY232" s="7">
        <f t="shared" si="285"/>
        <v>2.09</v>
      </c>
      <c r="BZ232" s="7">
        <f>IF(ROUND((Weightings!$P$5*BY232^Weightings!$P$6*Weightings!$P$8 ),2)&lt;Weightings!$P$7,Weightings!$P$7,ROUND((Weightings!$P$5*BY232^Weightings!$P$6*Weightings!$P$8 ),2))</f>
        <v>847.13</v>
      </c>
      <c r="CA232" s="8">
        <f>ROUND(BZ232/Weightings!$M$5,4)</f>
        <v>0.22070000000000001</v>
      </c>
      <c r="CB232" s="1">
        <f t="shared" si="286"/>
        <v>97.4</v>
      </c>
      <c r="CC232" s="173">
        <v>0</v>
      </c>
      <c r="CD232" s="173">
        <v>0</v>
      </c>
      <c r="CE232" s="173">
        <v>0</v>
      </c>
      <c r="CF232" s="177">
        <v>0</v>
      </c>
      <c r="CG232" s="2">
        <f>AS232*Weightings!$M$5*CF232</f>
        <v>0</v>
      </c>
      <c r="CH232" s="2">
        <f t="shared" si="250"/>
        <v>0</v>
      </c>
      <c r="CI232" s="117">
        <f t="shared" si="281"/>
        <v>0.53600000000000003</v>
      </c>
      <c r="CJ232" s="4">
        <f t="shared" si="282"/>
        <v>9.1999999999999993</v>
      </c>
      <c r="CK232" s="1">
        <f t="shared" si="287"/>
        <v>109.8</v>
      </c>
      <c r="CL232" s="1">
        <f t="shared" si="288"/>
        <v>0</v>
      </c>
      <c r="CM232" s="1">
        <f t="shared" si="289"/>
        <v>0</v>
      </c>
      <c r="CN232" s="1">
        <f>IF(ISNA(VLOOKUP($CZ232,'Audit Values'!$A$2:$AE$439,2,FALSE)),'Preliminary SO66'!T229,VLOOKUP($CZ232,'Audit Values'!$A$2:$AE$439,20,FALSE))</f>
        <v>0</v>
      </c>
      <c r="CO232" s="1">
        <f t="shared" si="254"/>
        <v>0</v>
      </c>
      <c r="CP232" s="183">
        <v>0</v>
      </c>
      <c r="CQ232" s="1">
        <f t="shared" si="255"/>
        <v>0</v>
      </c>
      <c r="CR232" s="2">
        <f>IF(ISNA(VLOOKUP($CZ232,'Audit Values'!$A$2:$AE$439,2,FALSE)),'Preliminary SO66'!V229,VLOOKUP($CZ232,'Audit Values'!$A$2:$AE$439,22,FALSE))</f>
        <v>0</v>
      </c>
      <c r="CS232" s="1">
        <f t="shared" si="256"/>
        <v>0</v>
      </c>
      <c r="CT232" s="2">
        <f>IF(ISNA(VLOOKUP($CZ232,'Audit Values'!$A$2:$AE$439,2,FALSE)),'Preliminary SO66'!W229,VLOOKUP($CZ232,'Audit Values'!$A$2:$AE$439,23,FALSE))</f>
        <v>0</v>
      </c>
      <c r="CU232" s="1">
        <f t="shared" si="301"/>
        <v>0</v>
      </c>
      <c r="CV232" s="1">
        <f t="shared" si="302"/>
        <v>0</v>
      </c>
      <c r="CW232" s="176">
        <v>0</v>
      </c>
      <c r="CX232" s="2">
        <f>IF(CW232&gt;0,Weightings!$M$11*AR232,0)</f>
        <v>0</v>
      </c>
      <c r="CY232" s="2">
        <f t="shared" si="290"/>
        <v>0</v>
      </c>
      <c r="CZ232" s="108" t="s">
        <v>524</v>
      </c>
    </row>
    <row r="233" spans="1:104">
      <c r="A233" s="82">
        <v>447</v>
      </c>
      <c r="B233" s="4" t="s">
        <v>101</v>
      </c>
      <c r="C233" s="4" t="s">
        <v>859</v>
      </c>
      <c r="D233" s="1">
        <v>786.1</v>
      </c>
      <c r="E233" s="1">
        <v>0</v>
      </c>
      <c r="F233" s="1">
        <f t="shared" si="294"/>
        <v>786.1</v>
      </c>
      <c r="G233" s="1">
        <v>823.5</v>
      </c>
      <c r="H233" s="1">
        <v>0</v>
      </c>
      <c r="I233" s="1">
        <f t="shared" si="257"/>
        <v>823.5</v>
      </c>
      <c r="J233" s="1">
        <f t="shared" si="258"/>
        <v>892.4</v>
      </c>
      <c r="K233" s="1">
        <f>IF(ISNA(VLOOKUP($CZ233,'Audit Values'!$A$2:$AE$439,2,FALSE)),'Preliminary SO66'!B230,VLOOKUP($CZ233,'Audit Values'!$A$2:$AE$439,31,FALSE))</f>
        <v>799.4</v>
      </c>
      <c r="L233" s="1">
        <f t="shared" si="259"/>
        <v>823.5</v>
      </c>
      <c r="M233" s="1">
        <f>IF(ISNA(VLOOKUP($CZ233,'Audit Values'!$A$2:$AE$439,2,FALSE)),'Preliminary SO66'!Z230,VLOOKUP($CZ233,'Audit Values'!$A$2:$AE$439,26,FALSE))</f>
        <v>0</v>
      </c>
      <c r="N233" s="1">
        <f t="shared" si="260"/>
        <v>823.5</v>
      </c>
      <c r="O233" s="1">
        <f>IF(ISNA(VLOOKUP($CZ233,'Audit Values'!$A$2:$AE$439,2,FALSE)),'Preliminary SO66'!C230,IF(VLOOKUP($CZ233,'Audit Values'!$A$2:$AE$439,28,FALSE)="",VLOOKUP($CZ233,'Audit Values'!$A$2:$AE$439,3,FALSE),VLOOKUP($CZ233,'Audit Values'!$A$2:$AE$439,28,FALSE)))</f>
        <v>10</v>
      </c>
      <c r="P233" s="109">
        <f t="shared" si="261"/>
        <v>809.4</v>
      </c>
      <c r="Q233" s="110">
        <f t="shared" si="262"/>
        <v>902.4</v>
      </c>
      <c r="R233" s="111">
        <f t="shared" si="263"/>
        <v>902.4</v>
      </c>
      <c r="S233" s="1">
        <f t="shared" si="264"/>
        <v>833.5</v>
      </c>
      <c r="T233" s="1">
        <f t="shared" si="293"/>
        <v>93</v>
      </c>
      <c r="U233" s="1">
        <f t="shared" si="265"/>
        <v>252.5</v>
      </c>
      <c r="V233" s="1">
        <f t="shared" si="251"/>
        <v>252.5</v>
      </c>
      <c r="W233" s="1">
        <f t="shared" si="252"/>
        <v>0</v>
      </c>
      <c r="X233" s="1">
        <f>IF(ISNA(VLOOKUP($CZ233,'Audit Values'!$A$2:$AE$439,2,FALSE)),'Preliminary SO66'!D230,VLOOKUP($CZ233,'Audit Values'!$A$2:$AE$439,4,FALSE))</f>
        <v>117.1</v>
      </c>
      <c r="Y233" s="1">
        <f>ROUND((X233/6)*Weightings!$M$6,1)</f>
        <v>9.8000000000000007</v>
      </c>
      <c r="Z233" s="1">
        <f>IF(ISNA(VLOOKUP($CZ233,'Audit Values'!$A$2:$AE$439,2,FALSE)),'Preliminary SO66'!F230,VLOOKUP($CZ233,'Audit Values'!$A$2:$AE$439,6,FALSE))</f>
        <v>0</v>
      </c>
      <c r="AA233" s="1">
        <f>ROUND((Z233/6)*Weightings!$M$7,1)</f>
        <v>0</v>
      </c>
      <c r="AB233" s="2">
        <f>IF(ISNA(VLOOKUP($CZ233,'Audit Values'!$A$2:$AE$439,2,FALSE)),'Preliminary SO66'!H230,VLOOKUP($CZ233,'Audit Values'!$A$2:$AE$439,8,FALSE))</f>
        <v>430</v>
      </c>
      <c r="AC233" s="1">
        <f>ROUND(AB233*Weightings!$M$8,1)</f>
        <v>196.1</v>
      </c>
      <c r="AD233" s="1">
        <f t="shared" si="249"/>
        <v>45.2</v>
      </c>
      <c r="AE233" s="185">
        <v>53</v>
      </c>
      <c r="AF233" s="1">
        <f>AE233*Weightings!$M$9</f>
        <v>2.5</v>
      </c>
      <c r="AG233" s="1">
        <f>IF(ISNA(VLOOKUP($CZ233,'Audit Values'!$A$2:$AE$439,2,FALSE)),'Preliminary SO66'!L230,VLOOKUP($CZ233,'Audit Values'!$A$2:$AE$439,12,FALSE))</f>
        <v>0</v>
      </c>
      <c r="AH233" s="1">
        <f>ROUND(AG233*Weightings!$M$10,1)</f>
        <v>0</v>
      </c>
      <c r="AI233" s="1">
        <f>IF(ISNA(VLOOKUP($CZ233,'Audit Values'!$A$2:$AE$439,2,FALSE)),'Preliminary SO66'!O230,VLOOKUP($CZ233,'Audit Values'!$A$2:$AE$439,15,FALSE))</f>
        <v>139.5</v>
      </c>
      <c r="AJ233" s="1">
        <f t="shared" si="266"/>
        <v>36.4</v>
      </c>
      <c r="AK233" s="1">
        <f>CC233/Weightings!$M$5</f>
        <v>0</v>
      </c>
      <c r="AL233" s="1">
        <f>CD233/Weightings!$M$5</f>
        <v>0</v>
      </c>
      <c r="AM233" s="1">
        <f>CH233/Weightings!$M$5</f>
        <v>0</v>
      </c>
      <c r="AN233" s="1">
        <f t="shared" si="253"/>
        <v>97.7</v>
      </c>
      <c r="AO233" s="1">
        <f>IF(ISNA(VLOOKUP($CZ233,'Audit Values'!$A$2:$AE$439,2,FALSE)),'Preliminary SO66'!X230,VLOOKUP($CZ233,'Audit Values'!$A$2:$AE$439,24,FALSE))</f>
        <v>0</v>
      </c>
      <c r="AP233" s="188">
        <v>576374</v>
      </c>
      <c r="AQ233" s="113">
        <f>AP233/Weightings!$M$5</f>
        <v>150.19999999999999</v>
      </c>
      <c r="AR233" s="113">
        <f t="shared" si="267"/>
        <v>1473.7</v>
      </c>
      <c r="AS233" s="1">
        <f t="shared" si="268"/>
        <v>1623.9</v>
      </c>
      <c r="AT233" s="1">
        <f t="shared" si="269"/>
        <v>1623.9</v>
      </c>
      <c r="AU233" s="2">
        <f t="shared" si="283"/>
        <v>134166</v>
      </c>
      <c r="AV233" s="82">
        <f>IF(ISNA(VLOOKUP($CZ233,'Audit Values'!$A$2:$AC$360,2,FALSE)),"",IF(AND(Weightings!H233&gt;0,VLOOKUP($CZ233,'Audit Values'!$A$2:$AC$360,29,FALSE)&lt;Weightings!H233),Weightings!H233,VLOOKUP($CZ233,'Audit Values'!$A$2:$AC$360,29,FALSE)))</f>
        <v>3</v>
      </c>
      <c r="AW233" s="82" t="str">
        <f>IF(ISNA(VLOOKUP($CZ233,'Audit Values'!$A$2:$AD$360,2,FALSE)),"",VLOOKUP($CZ233,'Audit Values'!$A$2:$AD$360,30,FALSE))</f>
        <v>A</v>
      </c>
      <c r="AX233" s="82" t="str">
        <f>IF(Weightings!G233="","",IF(Weightings!I233="Pending","PX","R"))</f>
        <v/>
      </c>
      <c r="AY233" s="114">
        <f>AR233*Weightings!$M$5+AU233</f>
        <v>5790227</v>
      </c>
      <c r="AZ233" s="2">
        <f>AT233*Weightings!$M$5+AU233</f>
        <v>6366694</v>
      </c>
      <c r="BA233" s="2">
        <f>IF(Weightings!G233&gt;0,Weightings!G233,'Preliminary SO66'!AB230)</f>
        <v>6560129</v>
      </c>
      <c r="BB233" s="2">
        <f t="shared" si="270"/>
        <v>6366694</v>
      </c>
      <c r="BC233" s="124"/>
      <c r="BD233" s="124">
        <f>Weightings!E233</f>
        <v>0</v>
      </c>
      <c r="BE233" s="124">
        <f>Weightings!F233</f>
        <v>0</v>
      </c>
      <c r="BF233" s="2">
        <f t="shared" si="271"/>
        <v>0</v>
      </c>
      <c r="BG233" s="2">
        <f t="shared" si="272"/>
        <v>6366694</v>
      </c>
      <c r="BH233" s="2">
        <f>MAX(ROUND(((AR233-AO233)*4433)+AP233,0),ROUND(((AR233-AO233)*4433)+Weightings!B233,0))</f>
        <v>7142458</v>
      </c>
      <c r="BI233" s="174">
        <v>0.3</v>
      </c>
      <c r="BJ233" s="2">
        <f t="shared" si="298"/>
        <v>2142737</v>
      </c>
      <c r="BK233" s="173">
        <v>1560000</v>
      </c>
      <c r="BL233" s="2">
        <f t="shared" si="246"/>
        <v>1560000</v>
      </c>
      <c r="BM233" s="3">
        <f t="shared" si="284"/>
        <v>0.21840000000000001</v>
      </c>
      <c r="BN233" s="1">
        <f t="shared" si="273"/>
        <v>0</v>
      </c>
      <c r="BO233" s="4" t="b">
        <f t="shared" si="274"/>
        <v>0</v>
      </c>
      <c r="BP233" s="5">
        <f t="shared" si="275"/>
        <v>0</v>
      </c>
      <c r="BQ233" s="6">
        <f t="shared" si="247"/>
        <v>0</v>
      </c>
      <c r="BR233" s="4">
        <f t="shared" si="276"/>
        <v>0</v>
      </c>
      <c r="BS233" s="4" t="b">
        <f t="shared" si="277"/>
        <v>1</v>
      </c>
      <c r="BT233" s="4">
        <f t="shared" si="278"/>
        <v>660.20630000000006</v>
      </c>
      <c r="BU233" s="6">
        <f t="shared" si="248"/>
        <v>0.30292999999999998</v>
      </c>
      <c r="BV233" s="1">
        <f t="shared" si="279"/>
        <v>252.5</v>
      </c>
      <c r="BW233" s="1">
        <f t="shared" si="280"/>
        <v>0</v>
      </c>
      <c r="BX233" s="116">
        <v>140</v>
      </c>
      <c r="BY233" s="7">
        <f t="shared" si="285"/>
        <v>1</v>
      </c>
      <c r="BZ233" s="7">
        <f>IF(ROUND((Weightings!$P$5*BY233^Weightings!$P$6*Weightings!$P$8 ),2)&lt;Weightings!$P$7,Weightings!$P$7,ROUND((Weightings!$P$5*BY233^Weightings!$P$6*Weightings!$P$8 ),2))</f>
        <v>1002.25</v>
      </c>
      <c r="CA233" s="8">
        <f>ROUND(BZ233/Weightings!$M$5,4)</f>
        <v>0.2611</v>
      </c>
      <c r="CB233" s="1">
        <f t="shared" si="286"/>
        <v>36.4</v>
      </c>
      <c r="CC233" s="173">
        <v>0</v>
      </c>
      <c r="CD233" s="173">
        <v>0</v>
      </c>
      <c r="CE233" s="173">
        <v>0</v>
      </c>
      <c r="CF233" s="177">
        <v>0</v>
      </c>
      <c r="CG233" s="2">
        <f>AS233*Weightings!$M$5*CF233</f>
        <v>0</v>
      </c>
      <c r="CH233" s="2">
        <f t="shared" si="250"/>
        <v>0</v>
      </c>
      <c r="CI233" s="117">
        <f t="shared" si="281"/>
        <v>0.51600000000000001</v>
      </c>
      <c r="CJ233" s="4">
        <f t="shared" si="282"/>
        <v>6</v>
      </c>
      <c r="CK233" s="1">
        <f t="shared" si="287"/>
        <v>45.2</v>
      </c>
      <c r="CL233" s="1">
        <f t="shared" si="288"/>
        <v>0</v>
      </c>
      <c r="CM233" s="1">
        <f t="shared" si="289"/>
        <v>0</v>
      </c>
      <c r="CN233" s="1">
        <f>IF(ISNA(VLOOKUP($CZ233,'Audit Values'!$A$2:$AE$439,2,FALSE)),'Preliminary SO66'!T230,VLOOKUP($CZ233,'Audit Values'!$A$2:$AE$439,20,FALSE))</f>
        <v>93</v>
      </c>
      <c r="CO233" s="1">
        <f t="shared" si="254"/>
        <v>97.7</v>
      </c>
      <c r="CP233" s="183">
        <v>0</v>
      </c>
      <c r="CQ233" s="1">
        <f t="shared" si="255"/>
        <v>0</v>
      </c>
      <c r="CR233" s="2">
        <f>IF(ISNA(VLOOKUP($CZ233,'Audit Values'!$A$2:$AE$439,2,FALSE)),'Preliminary SO66'!V230,VLOOKUP($CZ233,'Audit Values'!$A$2:$AE$439,22,FALSE))</f>
        <v>0</v>
      </c>
      <c r="CS233" s="1">
        <f t="shared" si="256"/>
        <v>0</v>
      </c>
      <c r="CT233" s="2">
        <f>IF(ISNA(VLOOKUP($CZ233,'Audit Values'!$A$2:$AE$439,2,FALSE)),'Preliminary SO66'!W230,VLOOKUP($CZ233,'Audit Values'!$A$2:$AE$439,23,FALSE))</f>
        <v>0</v>
      </c>
      <c r="CU233" s="1">
        <f t="shared" si="301"/>
        <v>0</v>
      </c>
      <c r="CV233" s="1">
        <f t="shared" si="302"/>
        <v>97.7</v>
      </c>
      <c r="CW233" s="176">
        <v>134166</v>
      </c>
      <c r="CX233" s="2">
        <f>IF(CW233&gt;0,Weightings!$M$11*AR233,0)</f>
        <v>368425</v>
      </c>
      <c r="CY233" s="2">
        <f t="shared" si="290"/>
        <v>134166</v>
      </c>
      <c r="CZ233" s="108" t="s">
        <v>525</v>
      </c>
    </row>
    <row r="234" spans="1:104">
      <c r="A234" s="82">
        <v>448</v>
      </c>
      <c r="B234" s="4" t="s">
        <v>93</v>
      </c>
      <c r="C234" s="4" t="s">
        <v>860</v>
      </c>
      <c r="D234" s="1">
        <v>420.3</v>
      </c>
      <c r="E234" s="1">
        <v>0</v>
      </c>
      <c r="F234" s="1">
        <f t="shared" si="294"/>
        <v>420.3</v>
      </c>
      <c r="G234" s="1">
        <v>399.3</v>
      </c>
      <c r="H234" s="1">
        <v>0</v>
      </c>
      <c r="I234" s="1">
        <f t="shared" si="257"/>
        <v>399.3</v>
      </c>
      <c r="J234" s="1">
        <f t="shared" si="258"/>
        <v>404.3</v>
      </c>
      <c r="K234" s="1">
        <f>IF(ISNA(VLOOKUP($CZ234,'Audit Values'!$A$2:$AE$439,2,FALSE)),'Preliminary SO66'!B231,VLOOKUP($CZ234,'Audit Values'!$A$2:$AE$439,31,FALSE))</f>
        <v>404.3</v>
      </c>
      <c r="L234" s="1">
        <f t="shared" si="259"/>
        <v>408</v>
      </c>
      <c r="M234" s="1">
        <f>IF(ISNA(VLOOKUP($CZ234,'Audit Values'!$A$2:$AE$439,2,FALSE)),'Preliminary SO66'!Z231,VLOOKUP($CZ234,'Audit Values'!$A$2:$AE$439,26,FALSE))</f>
        <v>0</v>
      </c>
      <c r="N234" s="1">
        <f t="shared" si="260"/>
        <v>408</v>
      </c>
      <c r="O234" s="1">
        <f>IF(ISNA(VLOOKUP($CZ234,'Audit Values'!$A$2:$AE$439,2,FALSE)),'Preliminary SO66'!C231,IF(VLOOKUP($CZ234,'Audit Values'!$A$2:$AE$439,28,FALSE)="",VLOOKUP($CZ234,'Audit Values'!$A$2:$AE$439,3,FALSE),VLOOKUP($CZ234,'Audit Values'!$A$2:$AE$439,28,FALSE)))</f>
        <v>8</v>
      </c>
      <c r="P234" s="109">
        <f t="shared" si="261"/>
        <v>412.3</v>
      </c>
      <c r="Q234" s="110">
        <f t="shared" si="262"/>
        <v>412.3</v>
      </c>
      <c r="R234" s="111">
        <f t="shared" si="263"/>
        <v>412.3</v>
      </c>
      <c r="S234" s="1">
        <f t="shared" si="264"/>
        <v>416</v>
      </c>
      <c r="T234" s="1">
        <f t="shared" si="293"/>
        <v>0</v>
      </c>
      <c r="U234" s="1">
        <f t="shared" si="265"/>
        <v>185</v>
      </c>
      <c r="V234" s="1">
        <f t="shared" si="251"/>
        <v>185</v>
      </c>
      <c r="W234" s="1">
        <f t="shared" si="252"/>
        <v>0</v>
      </c>
      <c r="X234" s="1">
        <f>IF(ISNA(VLOOKUP($CZ234,'Audit Values'!$A$2:$AE$439,2,FALSE)),'Preliminary SO66'!D231,VLOOKUP($CZ234,'Audit Values'!$A$2:$AE$439,4,FALSE))</f>
        <v>128.30000000000001</v>
      </c>
      <c r="Y234" s="1">
        <f>ROUND((X234/6)*Weightings!$M$6,1)</f>
        <v>10.7</v>
      </c>
      <c r="Z234" s="1">
        <f>IF(ISNA(VLOOKUP($CZ234,'Audit Values'!$A$2:$AE$439,2,FALSE)),'Preliminary SO66'!F231,VLOOKUP($CZ234,'Audit Values'!$A$2:$AE$439,6,FALSE))</f>
        <v>0</v>
      </c>
      <c r="AA234" s="1">
        <f>ROUND((Z234/6)*Weightings!$M$7,1)</f>
        <v>0</v>
      </c>
      <c r="AB234" s="2">
        <f>IF(ISNA(VLOOKUP($CZ234,'Audit Values'!$A$2:$AE$439,2,FALSE)),'Preliminary SO66'!H231,VLOOKUP($CZ234,'Audit Values'!$A$2:$AE$439,8,FALSE))</f>
        <v>88</v>
      </c>
      <c r="AC234" s="1">
        <f>ROUND(AB234*Weightings!$M$8,1)</f>
        <v>40.1</v>
      </c>
      <c r="AD234" s="1">
        <f t="shared" si="249"/>
        <v>0</v>
      </c>
      <c r="AE234" s="185">
        <v>39</v>
      </c>
      <c r="AF234" s="1">
        <f>AE234*Weightings!$M$9</f>
        <v>1.8</v>
      </c>
      <c r="AG234" s="1">
        <f>IF(ISNA(VLOOKUP($CZ234,'Audit Values'!$A$2:$AE$439,2,FALSE)),'Preliminary SO66'!L231,VLOOKUP($CZ234,'Audit Values'!$A$2:$AE$439,12,FALSE))</f>
        <v>0</v>
      </c>
      <c r="AH234" s="1">
        <f>ROUND(AG234*Weightings!$M$10,1)</f>
        <v>0</v>
      </c>
      <c r="AI234" s="1">
        <f>IF(ISNA(VLOOKUP($CZ234,'Audit Values'!$A$2:$AE$439,2,FALSE)),'Preliminary SO66'!O231,VLOOKUP($CZ234,'Audit Values'!$A$2:$AE$439,15,FALSE))</f>
        <v>113</v>
      </c>
      <c r="AJ234" s="1">
        <f t="shared" si="266"/>
        <v>31.2</v>
      </c>
      <c r="AK234" s="1">
        <f>CC234/Weightings!$M$5</f>
        <v>0</v>
      </c>
      <c r="AL234" s="1">
        <f>CD234/Weightings!$M$5</f>
        <v>0</v>
      </c>
      <c r="AM234" s="1">
        <f>CH234/Weightings!$M$5</f>
        <v>0</v>
      </c>
      <c r="AN234" s="1">
        <f t="shared" si="253"/>
        <v>0</v>
      </c>
      <c r="AO234" s="1">
        <f>IF(ISNA(VLOOKUP($CZ234,'Audit Values'!$A$2:$AE$439,2,FALSE)),'Preliminary SO66'!X231,VLOOKUP($CZ234,'Audit Values'!$A$2:$AE$439,24,FALSE))</f>
        <v>0</v>
      </c>
      <c r="AP234" s="188">
        <v>487588</v>
      </c>
      <c r="AQ234" s="113">
        <f>AP234/Weightings!$M$5</f>
        <v>127</v>
      </c>
      <c r="AR234" s="113">
        <f t="shared" si="267"/>
        <v>684.8</v>
      </c>
      <c r="AS234" s="1">
        <f t="shared" si="268"/>
        <v>811.8</v>
      </c>
      <c r="AT234" s="1">
        <f t="shared" si="269"/>
        <v>811.8</v>
      </c>
      <c r="AU234" s="2">
        <f t="shared" si="283"/>
        <v>0</v>
      </c>
      <c r="AV234" s="82">
        <f>IF(ISNA(VLOOKUP($CZ234,'Audit Values'!$A$2:$AC$360,2,FALSE)),"",IF(AND(Weightings!H234&gt;0,VLOOKUP($CZ234,'Audit Values'!$A$2:$AC$360,29,FALSE)&lt;Weightings!H234),Weightings!H234,VLOOKUP($CZ234,'Audit Values'!$A$2:$AC$360,29,FALSE)))</f>
        <v>16</v>
      </c>
      <c r="AW234" s="82" t="str">
        <f>IF(ISNA(VLOOKUP($CZ234,'Audit Values'!$A$2:$AD$360,2,FALSE)),"",VLOOKUP($CZ234,'Audit Values'!$A$2:$AD$360,30,FALSE))</f>
        <v>A</v>
      </c>
      <c r="AX234" s="82" t="str">
        <f>IF(Weightings!G234="","",IF(Weightings!I234="Pending","PX","R"))</f>
        <v>R</v>
      </c>
      <c r="AY234" s="114">
        <f>AR234*Weightings!$M$5+AU234</f>
        <v>2628262</v>
      </c>
      <c r="AZ234" s="2">
        <f>AT234*Weightings!$M$5+AU234</f>
        <v>3115688</v>
      </c>
      <c r="BA234" s="2">
        <f>IF(Weightings!G234&gt;0,Weightings!G234,'Preliminary SO66'!AB231)</f>
        <v>3178249</v>
      </c>
      <c r="BB234" s="2">
        <f t="shared" si="270"/>
        <v>3115688</v>
      </c>
      <c r="BC234" s="124"/>
      <c r="BD234" s="124">
        <f>Weightings!E234</f>
        <v>0</v>
      </c>
      <c r="BE234" s="124">
        <f>Weightings!F234</f>
        <v>0</v>
      </c>
      <c r="BF234" s="2">
        <f t="shared" si="271"/>
        <v>0</v>
      </c>
      <c r="BG234" s="2">
        <f t="shared" si="272"/>
        <v>3115688</v>
      </c>
      <c r="BH234" s="2">
        <f>MAX(ROUND(((AR234-AO234)*4433)+AP234,0),ROUND(((AR234-AO234)*4433)+Weightings!B234,0))</f>
        <v>3523306</v>
      </c>
      <c r="BI234" s="174">
        <v>0.31</v>
      </c>
      <c r="BJ234" s="2">
        <f t="shared" si="298"/>
        <v>1092225</v>
      </c>
      <c r="BK234" s="173">
        <v>1098679</v>
      </c>
      <c r="BL234" s="2">
        <f t="shared" si="246"/>
        <v>1092225</v>
      </c>
      <c r="BM234" s="3">
        <f t="shared" si="284"/>
        <v>0.31</v>
      </c>
      <c r="BN234" s="1">
        <f t="shared" si="273"/>
        <v>0</v>
      </c>
      <c r="BO234" s="4" t="b">
        <f t="shared" si="274"/>
        <v>0</v>
      </c>
      <c r="BP234" s="5">
        <f t="shared" si="275"/>
        <v>0</v>
      </c>
      <c r="BQ234" s="6">
        <f t="shared" si="247"/>
        <v>0</v>
      </c>
      <c r="BR234" s="4">
        <f t="shared" si="276"/>
        <v>0</v>
      </c>
      <c r="BS234" s="4" t="b">
        <f t="shared" si="277"/>
        <v>1</v>
      </c>
      <c r="BT234" s="4">
        <f t="shared" si="278"/>
        <v>143.55000000000001</v>
      </c>
      <c r="BU234" s="6">
        <f t="shared" si="248"/>
        <v>0.44477499999999998</v>
      </c>
      <c r="BV234" s="1">
        <f t="shared" si="279"/>
        <v>185</v>
      </c>
      <c r="BW234" s="1">
        <f t="shared" si="280"/>
        <v>0</v>
      </c>
      <c r="BX234" s="116">
        <v>144</v>
      </c>
      <c r="BY234" s="7">
        <f t="shared" si="285"/>
        <v>0.78</v>
      </c>
      <c r="BZ234" s="7">
        <f>IF(ROUND((Weightings!$P$5*BY234^Weightings!$P$6*Weightings!$P$8 ),2)&lt;Weightings!$P$7,Weightings!$P$7,ROUND((Weightings!$P$5*BY234^Weightings!$P$6*Weightings!$P$8 ),2))</f>
        <v>1060.69</v>
      </c>
      <c r="CA234" s="8">
        <f>ROUND(BZ234/Weightings!$M$5,4)</f>
        <v>0.27639999999999998</v>
      </c>
      <c r="CB234" s="1">
        <f t="shared" si="286"/>
        <v>31.2</v>
      </c>
      <c r="CC234" s="173">
        <v>0</v>
      </c>
      <c r="CD234" s="173">
        <v>0</v>
      </c>
      <c r="CE234" s="173">
        <v>0</v>
      </c>
      <c r="CF234" s="177">
        <v>0</v>
      </c>
      <c r="CG234" s="2">
        <f>AS234*Weightings!$M$5*CF234</f>
        <v>0</v>
      </c>
      <c r="CH234" s="2">
        <f t="shared" si="250"/>
        <v>0</v>
      </c>
      <c r="CI234" s="117">
        <f t="shared" si="281"/>
        <v>0.21199999999999999</v>
      </c>
      <c r="CJ234" s="4">
        <f t="shared" si="282"/>
        <v>2.9</v>
      </c>
      <c r="CK234" s="1">
        <f t="shared" si="287"/>
        <v>0</v>
      </c>
      <c r="CL234" s="1">
        <f t="shared" si="288"/>
        <v>0</v>
      </c>
      <c r="CM234" s="1">
        <f t="shared" si="289"/>
        <v>0</v>
      </c>
      <c r="CN234" s="1">
        <f>IF(ISNA(VLOOKUP($CZ234,'Audit Values'!$A$2:$AE$439,2,FALSE)),'Preliminary SO66'!T231,VLOOKUP($CZ234,'Audit Values'!$A$2:$AE$439,20,FALSE))</f>
        <v>0</v>
      </c>
      <c r="CO234" s="1">
        <f t="shared" si="254"/>
        <v>0</v>
      </c>
      <c r="CP234" s="183">
        <v>0</v>
      </c>
      <c r="CQ234" s="1">
        <f t="shared" si="255"/>
        <v>0</v>
      </c>
      <c r="CR234" s="2">
        <f>IF(ISNA(VLOOKUP($CZ234,'Audit Values'!$A$2:$AE$439,2,FALSE)),'Preliminary SO66'!V231,VLOOKUP($CZ234,'Audit Values'!$A$2:$AE$439,22,FALSE))</f>
        <v>0</v>
      </c>
      <c r="CS234" s="1">
        <f t="shared" si="256"/>
        <v>0</v>
      </c>
      <c r="CT234" s="2">
        <f>IF(ISNA(VLOOKUP($CZ234,'Audit Values'!$A$2:$AE$439,2,FALSE)),'Preliminary SO66'!W231,VLOOKUP($CZ234,'Audit Values'!$A$2:$AE$439,23,FALSE))</f>
        <v>0</v>
      </c>
      <c r="CU234" s="1">
        <f t="shared" si="301"/>
        <v>0</v>
      </c>
      <c r="CV234" s="1">
        <f t="shared" si="302"/>
        <v>0</v>
      </c>
      <c r="CW234" s="176">
        <v>0</v>
      </c>
      <c r="CX234" s="2">
        <f>IF(CW234&gt;0,Weightings!$M$11*AR234,0)</f>
        <v>0</v>
      </c>
      <c r="CY234" s="2">
        <f t="shared" si="290"/>
        <v>0</v>
      </c>
      <c r="CZ234" s="108" t="s">
        <v>526</v>
      </c>
    </row>
    <row r="235" spans="1:104">
      <c r="A235" s="82">
        <v>449</v>
      </c>
      <c r="B235" s="4" t="s">
        <v>13</v>
      </c>
      <c r="C235" s="4" t="s">
        <v>861</v>
      </c>
      <c r="D235" s="1">
        <v>669.8</v>
      </c>
      <c r="E235" s="1">
        <v>0</v>
      </c>
      <c r="F235" s="1">
        <f t="shared" si="294"/>
        <v>669.8</v>
      </c>
      <c r="G235" s="1">
        <v>657.9</v>
      </c>
      <c r="H235" s="1">
        <v>0</v>
      </c>
      <c r="I235" s="1">
        <f t="shared" si="257"/>
        <v>657.9</v>
      </c>
      <c r="J235" s="1">
        <f t="shared" si="258"/>
        <v>652.70000000000005</v>
      </c>
      <c r="K235" s="1">
        <f>IF(ISNA(VLOOKUP($CZ235,'Audit Values'!$A$2:$AE$439,2,FALSE)),'Preliminary SO66'!B232,VLOOKUP($CZ235,'Audit Values'!$A$2:$AE$439,31,FALSE))</f>
        <v>652.70000000000005</v>
      </c>
      <c r="L235" s="1">
        <f t="shared" si="259"/>
        <v>660.1</v>
      </c>
      <c r="M235" s="1">
        <f>IF(ISNA(VLOOKUP($CZ235,'Audit Values'!$A$2:$AE$439,2,FALSE)),'Preliminary SO66'!Z232,VLOOKUP($CZ235,'Audit Values'!$A$2:$AE$439,26,FALSE))</f>
        <v>0</v>
      </c>
      <c r="N235" s="1">
        <f t="shared" si="260"/>
        <v>660.1</v>
      </c>
      <c r="O235" s="1">
        <f>IF(ISNA(VLOOKUP($CZ235,'Audit Values'!$A$2:$AE$439,2,FALSE)),'Preliminary SO66'!C232,IF(VLOOKUP($CZ235,'Audit Values'!$A$2:$AE$439,28,FALSE)="",VLOOKUP($CZ235,'Audit Values'!$A$2:$AE$439,3,FALSE),VLOOKUP($CZ235,'Audit Values'!$A$2:$AE$439,28,FALSE)))</f>
        <v>0</v>
      </c>
      <c r="P235" s="109">
        <f t="shared" si="261"/>
        <v>652.70000000000005</v>
      </c>
      <c r="Q235" s="110">
        <f t="shared" si="262"/>
        <v>652.70000000000005</v>
      </c>
      <c r="R235" s="111">
        <f t="shared" si="263"/>
        <v>652.70000000000005</v>
      </c>
      <c r="S235" s="1">
        <f t="shared" si="264"/>
        <v>660.1</v>
      </c>
      <c r="T235" s="1">
        <f t="shared" si="293"/>
        <v>0</v>
      </c>
      <c r="U235" s="1">
        <f t="shared" si="265"/>
        <v>238.9</v>
      </c>
      <c r="V235" s="1">
        <f t="shared" si="251"/>
        <v>238.9</v>
      </c>
      <c r="W235" s="1">
        <f t="shared" si="252"/>
        <v>0</v>
      </c>
      <c r="X235" s="1">
        <f>IF(ISNA(VLOOKUP($CZ235,'Audit Values'!$A$2:$AE$439,2,FALSE)),'Preliminary SO66'!D232,VLOOKUP($CZ235,'Audit Values'!$A$2:$AE$439,4,FALSE))</f>
        <v>194.6</v>
      </c>
      <c r="Y235" s="1">
        <f>ROUND((X235/6)*Weightings!$M$6,1)</f>
        <v>16.2</v>
      </c>
      <c r="Z235" s="1">
        <f>IF(ISNA(VLOOKUP($CZ235,'Audit Values'!$A$2:$AE$439,2,FALSE)),'Preliminary SO66'!F232,VLOOKUP($CZ235,'Audit Values'!$A$2:$AE$439,6,FALSE))</f>
        <v>0</v>
      </c>
      <c r="AA235" s="1">
        <f>ROUND((Z235/6)*Weightings!$M$7,1)</f>
        <v>0</v>
      </c>
      <c r="AB235" s="2">
        <f>IF(ISNA(VLOOKUP($CZ235,'Audit Values'!$A$2:$AE$439,2,FALSE)),'Preliminary SO66'!H232,VLOOKUP($CZ235,'Audit Values'!$A$2:$AE$439,8,FALSE))</f>
        <v>182</v>
      </c>
      <c r="AC235" s="1">
        <f>ROUND(AB235*Weightings!$M$8,1)</f>
        <v>83</v>
      </c>
      <c r="AD235" s="1">
        <f t="shared" si="249"/>
        <v>0</v>
      </c>
      <c r="AE235" s="185">
        <v>76</v>
      </c>
      <c r="AF235" s="1">
        <f>AE235*Weightings!$M$9</f>
        <v>3.5</v>
      </c>
      <c r="AG235" s="1">
        <f>IF(ISNA(VLOOKUP($CZ235,'Audit Values'!$A$2:$AE$439,2,FALSE)),'Preliminary SO66'!L232,VLOOKUP($CZ235,'Audit Values'!$A$2:$AE$439,12,FALSE))</f>
        <v>128.30000000000001</v>
      </c>
      <c r="AH235" s="1">
        <f>ROUND(AG235*Weightings!$M$10,1)</f>
        <v>32.1</v>
      </c>
      <c r="AI235" s="1">
        <f>IF(ISNA(VLOOKUP($CZ235,'Audit Values'!$A$2:$AE$439,2,FALSE)),'Preliminary SO66'!O232,VLOOKUP($CZ235,'Audit Values'!$A$2:$AE$439,15,FALSE))</f>
        <v>406.5</v>
      </c>
      <c r="AJ235" s="1">
        <f t="shared" si="266"/>
        <v>79.900000000000006</v>
      </c>
      <c r="AK235" s="1">
        <f>CC235/Weightings!$M$5</f>
        <v>0</v>
      </c>
      <c r="AL235" s="1">
        <f>CD235/Weightings!$M$5</f>
        <v>0</v>
      </c>
      <c r="AM235" s="1">
        <f>CH235/Weightings!$M$5</f>
        <v>0</v>
      </c>
      <c r="AN235" s="1">
        <f t="shared" si="253"/>
        <v>0</v>
      </c>
      <c r="AO235" s="1">
        <f>IF(ISNA(VLOOKUP($CZ235,'Audit Values'!$A$2:$AE$439,2,FALSE)),'Preliminary SO66'!X232,VLOOKUP($CZ235,'Audit Values'!$A$2:$AE$439,24,FALSE))</f>
        <v>0</v>
      </c>
      <c r="AP235" s="188">
        <v>552551</v>
      </c>
      <c r="AQ235" s="113">
        <f>AP235/Weightings!$M$5</f>
        <v>144</v>
      </c>
      <c r="AR235" s="113">
        <f t="shared" si="267"/>
        <v>1113.7</v>
      </c>
      <c r="AS235" s="1">
        <f t="shared" si="268"/>
        <v>1257.7</v>
      </c>
      <c r="AT235" s="1">
        <f t="shared" si="269"/>
        <v>1257.7</v>
      </c>
      <c r="AU235" s="2">
        <f t="shared" si="283"/>
        <v>0</v>
      </c>
      <c r="AV235" s="82">
        <f>IF(ISNA(VLOOKUP($CZ235,'Audit Values'!$A$2:$AC$360,2,FALSE)),"",IF(AND(Weightings!H235&gt;0,VLOOKUP($CZ235,'Audit Values'!$A$2:$AC$360,29,FALSE)&lt;Weightings!H235),Weightings!H235,VLOOKUP($CZ235,'Audit Values'!$A$2:$AC$360,29,FALSE)))</f>
        <v>22</v>
      </c>
      <c r="AW235" s="82" t="str">
        <f>IF(ISNA(VLOOKUP($CZ235,'Audit Values'!$A$2:$AD$360,2,FALSE)),"",VLOOKUP($CZ235,'Audit Values'!$A$2:$AD$360,30,FALSE))</f>
        <v>A</v>
      </c>
      <c r="AX235" s="82" t="str">
        <f>IF(Weightings!G235="","",IF(Weightings!I235="Pending","PX","R"))</f>
        <v/>
      </c>
      <c r="AY235" s="114">
        <f>AR235*Weightings!$M$5+AU235</f>
        <v>4274381</v>
      </c>
      <c r="AZ235" s="2">
        <f>AT235*Weightings!$M$5+AU235</f>
        <v>4827053</v>
      </c>
      <c r="BA235" s="2">
        <f>IF(Weightings!G235&gt;0,Weightings!G235,'Preliminary SO66'!AB232)</f>
        <v>4981724</v>
      </c>
      <c r="BB235" s="2">
        <f t="shared" si="270"/>
        <v>4827053</v>
      </c>
      <c r="BC235" s="124"/>
      <c r="BD235" s="124">
        <f>Weightings!E235</f>
        <v>-5225</v>
      </c>
      <c r="BE235" s="124">
        <f>Weightings!F235</f>
        <v>0</v>
      </c>
      <c r="BF235" s="2">
        <f t="shared" si="271"/>
        <v>-5225</v>
      </c>
      <c r="BG235" s="2">
        <f t="shared" si="272"/>
        <v>4821828</v>
      </c>
      <c r="BH235" s="2">
        <f>MAX(ROUND(((AR235-AO235)*4433)+AP235,0),ROUND(((AR235-AO235)*4433)+Weightings!B235,0))</f>
        <v>5679126</v>
      </c>
      <c r="BI235" s="174">
        <v>0.3</v>
      </c>
      <c r="BJ235" s="2">
        <f t="shared" si="298"/>
        <v>1703738</v>
      </c>
      <c r="BK235" s="173">
        <v>1744566</v>
      </c>
      <c r="BL235" s="2">
        <f t="shared" si="246"/>
        <v>1703738</v>
      </c>
      <c r="BM235" s="3">
        <f t="shared" si="284"/>
        <v>0.3</v>
      </c>
      <c r="BN235" s="1">
        <f t="shared" si="273"/>
        <v>0</v>
      </c>
      <c r="BO235" s="4" t="b">
        <f t="shared" si="274"/>
        <v>0</v>
      </c>
      <c r="BP235" s="5">
        <f t="shared" si="275"/>
        <v>0</v>
      </c>
      <c r="BQ235" s="6">
        <f t="shared" si="247"/>
        <v>0</v>
      </c>
      <c r="BR235" s="4">
        <f t="shared" si="276"/>
        <v>0</v>
      </c>
      <c r="BS235" s="4" t="b">
        <f t="shared" si="277"/>
        <v>1</v>
      </c>
      <c r="BT235" s="4">
        <f t="shared" si="278"/>
        <v>445.62380000000002</v>
      </c>
      <c r="BU235" s="6">
        <f t="shared" si="248"/>
        <v>0.36184300000000003</v>
      </c>
      <c r="BV235" s="1">
        <f t="shared" si="279"/>
        <v>238.9</v>
      </c>
      <c r="BW235" s="1">
        <f t="shared" si="280"/>
        <v>0</v>
      </c>
      <c r="BX235" s="116">
        <v>117</v>
      </c>
      <c r="BY235" s="7">
        <f t="shared" si="285"/>
        <v>3.47</v>
      </c>
      <c r="BZ235" s="7">
        <f>IF(ROUND((Weightings!$P$5*BY235^Weightings!$P$6*Weightings!$P$8 ),2)&lt;Weightings!$P$7,Weightings!$P$7,ROUND((Weightings!$P$5*BY235^Weightings!$P$6*Weightings!$P$8 ),2))</f>
        <v>754.61</v>
      </c>
      <c r="CA235" s="8">
        <f>ROUND(BZ235/Weightings!$M$5,4)</f>
        <v>0.1966</v>
      </c>
      <c r="CB235" s="1">
        <f t="shared" si="286"/>
        <v>79.900000000000006</v>
      </c>
      <c r="CC235" s="173">
        <v>0</v>
      </c>
      <c r="CD235" s="173">
        <v>0</v>
      </c>
      <c r="CE235" s="173">
        <v>0</v>
      </c>
      <c r="CF235" s="177">
        <v>0</v>
      </c>
      <c r="CG235" s="2">
        <f>AS235*Weightings!$M$5*CF235</f>
        <v>0</v>
      </c>
      <c r="CH235" s="2">
        <f t="shared" si="250"/>
        <v>0</v>
      </c>
      <c r="CI235" s="117">
        <f t="shared" si="281"/>
        <v>0.27600000000000002</v>
      </c>
      <c r="CJ235" s="4">
        <f t="shared" si="282"/>
        <v>5.6</v>
      </c>
      <c r="CK235" s="1">
        <f t="shared" si="287"/>
        <v>0</v>
      </c>
      <c r="CL235" s="1">
        <f t="shared" si="288"/>
        <v>0</v>
      </c>
      <c r="CM235" s="1">
        <f t="shared" si="289"/>
        <v>0</v>
      </c>
      <c r="CN235" s="1">
        <f>IF(ISNA(VLOOKUP($CZ235,'Audit Values'!$A$2:$AE$439,2,FALSE)),'Preliminary SO66'!T232,VLOOKUP($CZ235,'Audit Values'!$A$2:$AE$439,20,FALSE))</f>
        <v>0</v>
      </c>
      <c r="CO235" s="1">
        <f t="shared" si="254"/>
        <v>0</v>
      </c>
      <c r="CP235" s="183">
        <v>0</v>
      </c>
      <c r="CQ235" s="1">
        <f t="shared" si="255"/>
        <v>0</v>
      </c>
      <c r="CR235" s="2">
        <f>IF(ISNA(VLOOKUP($CZ235,'Audit Values'!$A$2:$AE$439,2,FALSE)),'Preliminary SO66'!V232,VLOOKUP($CZ235,'Audit Values'!$A$2:$AE$439,22,FALSE))</f>
        <v>0</v>
      </c>
      <c r="CS235" s="1">
        <f t="shared" si="256"/>
        <v>0</v>
      </c>
      <c r="CT235" s="2">
        <f>IF(ISNA(VLOOKUP($CZ235,'Audit Values'!$A$2:$AE$439,2,FALSE)),'Preliminary SO66'!W232,VLOOKUP($CZ235,'Audit Values'!$A$2:$AE$439,23,FALSE))</f>
        <v>0</v>
      </c>
      <c r="CU235" s="1">
        <f t="shared" si="301"/>
        <v>0</v>
      </c>
      <c r="CV235" s="1">
        <f t="shared" si="302"/>
        <v>0</v>
      </c>
      <c r="CW235" s="176">
        <v>0</v>
      </c>
      <c r="CX235" s="2">
        <f>IF(CW235&gt;0,Weightings!$M$11*AR235,0)</f>
        <v>0</v>
      </c>
      <c r="CY235" s="2">
        <f t="shared" si="290"/>
        <v>0</v>
      </c>
      <c r="CZ235" s="108" t="s">
        <v>527</v>
      </c>
    </row>
    <row r="236" spans="1:104">
      <c r="A236" s="82">
        <v>450</v>
      </c>
      <c r="B236" s="4" t="s">
        <v>63</v>
      </c>
      <c r="C236" s="4" t="s">
        <v>862</v>
      </c>
      <c r="D236" s="1">
        <v>3457.5</v>
      </c>
      <c r="E236" s="1">
        <v>0</v>
      </c>
      <c r="F236" s="1">
        <f t="shared" si="294"/>
        <v>3457.5</v>
      </c>
      <c r="G236" s="1">
        <v>3435.3</v>
      </c>
      <c r="H236" s="1">
        <v>0</v>
      </c>
      <c r="I236" s="1">
        <f t="shared" si="257"/>
        <v>3435.3</v>
      </c>
      <c r="J236" s="1">
        <f t="shared" si="258"/>
        <v>3464.1</v>
      </c>
      <c r="K236" s="1">
        <f>IF(ISNA(VLOOKUP($CZ236,'Audit Values'!$A$2:$AE$439,2,FALSE)),'Preliminary SO66'!B233,VLOOKUP($CZ236,'Audit Values'!$A$2:$AE$439,31,FALSE))</f>
        <v>3464.1</v>
      </c>
      <c r="L236" s="1">
        <f t="shared" si="259"/>
        <v>3464.1</v>
      </c>
      <c r="M236" s="1">
        <f>IF(ISNA(VLOOKUP($CZ236,'Audit Values'!$A$2:$AE$439,2,FALSE)),'Preliminary SO66'!Z233,VLOOKUP($CZ236,'Audit Values'!$A$2:$AE$439,26,FALSE))</f>
        <v>0</v>
      </c>
      <c r="N236" s="1">
        <f t="shared" si="260"/>
        <v>3464.1</v>
      </c>
      <c r="O236" s="1">
        <f>IF(ISNA(VLOOKUP($CZ236,'Audit Values'!$A$2:$AE$439,2,FALSE)),'Preliminary SO66'!C233,IF(VLOOKUP($CZ236,'Audit Values'!$A$2:$AE$439,28,FALSE)="",VLOOKUP($CZ236,'Audit Values'!$A$2:$AE$439,3,FALSE),VLOOKUP($CZ236,'Audit Values'!$A$2:$AE$439,28,FALSE)))</f>
        <v>0</v>
      </c>
      <c r="P236" s="109">
        <f t="shared" si="261"/>
        <v>3464.1</v>
      </c>
      <c r="Q236" s="110">
        <f t="shared" si="262"/>
        <v>3464.1</v>
      </c>
      <c r="R236" s="111">
        <f t="shared" si="263"/>
        <v>3464.1</v>
      </c>
      <c r="S236" s="1">
        <f t="shared" si="264"/>
        <v>3464.1</v>
      </c>
      <c r="T236" s="1">
        <f t="shared" si="293"/>
        <v>0</v>
      </c>
      <c r="U236" s="1">
        <f t="shared" si="265"/>
        <v>121.4</v>
      </c>
      <c r="V236" s="1">
        <f t="shared" si="251"/>
        <v>0</v>
      </c>
      <c r="W236" s="1">
        <f t="shared" si="252"/>
        <v>121.4</v>
      </c>
      <c r="X236" s="1">
        <f>IF(ISNA(VLOOKUP($CZ236,'Audit Values'!$A$2:$AE$439,2,FALSE)),'Preliminary SO66'!D233,VLOOKUP($CZ236,'Audit Values'!$A$2:$AE$439,4,FALSE))</f>
        <v>502.5</v>
      </c>
      <c r="Y236" s="1">
        <f>ROUND((X236/6)*Weightings!$M$6,1)</f>
        <v>41.9</v>
      </c>
      <c r="Z236" s="1">
        <f>IF(ISNA(VLOOKUP($CZ236,'Audit Values'!$A$2:$AE$439,2,FALSE)),'Preliminary SO66'!F233,VLOOKUP($CZ236,'Audit Values'!$A$2:$AE$439,6,FALSE))</f>
        <v>288.8</v>
      </c>
      <c r="AA236" s="1">
        <f>ROUND((Z236/6)*Weightings!$M$7,1)</f>
        <v>19</v>
      </c>
      <c r="AB236" s="2">
        <f>IF(ISNA(VLOOKUP($CZ236,'Audit Values'!$A$2:$AE$439,2,FALSE)),'Preliminary SO66'!H233,VLOOKUP($CZ236,'Audit Values'!$A$2:$AE$439,8,FALSE))</f>
        <v>1037</v>
      </c>
      <c r="AC236" s="1">
        <f>ROUND(AB236*Weightings!$M$8,1)</f>
        <v>472.9</v>
      </c>
      <c r="AD236" s="1">
        <f t="shared" si="249"/>
        <v>0</v>
      </c>
      <c r="AE236" s="185">
        <v>268</v>
      </c>
      <c r="AF236" s="1">
        <f>AE236*Weightings!$M$9</f>
        <v>12.5</v>
      </c>
      <c r="AG236" s="1">
        <f>IF(ISNA(VLOOKUP($CZ236,'Audit Values'!$A$2:$AE$439,2,FALSE)),'Preliminary SO66'!L233,VLOOKUP($CZ236,'Audit Values'!$A$2:$AE$439,12,FALSE))</f>
        <v>0</v>
      </c>
      <c r="AH236" s="1">
        <f>ROUND(AG236*Weightings!$M$10,1)</f>
        <v>0</v>
      </c>
      <c r="AI236" s="1">
        <f>IF(ISNA(VLOOKUP($CZ236,'Audit Values'!$A$2:$AE$439,2,FALSE)),'Preliminary SO66'!O233,VLOOKUP($CZ236,'Audit Values'!$A$2:$AE$439,15,FALSE))</f>
        <v>2473</v>
      </c>
      <c r="AJ236" s="1">
        <f t="shared" si="266"/>
        <v>376.9</v>
      </c>
      <c r="AK236" s="1">
        <f>CC236/Weightings!$M$5</f>
        <v>0</v>
      </c>
      <c r="AL236" s="1">
        <f>CD236/Weightings!$M$5</f>
        <v>0</v>
      </c>
      <c r="AM236" s="1">
        <f>CH236/Weightings!$M$5</f>
        <v>0</v>
      </c>
      <c r="AN236" s="1">
        <f t="shared" si="253"/>
        <v>0</v>
      </c>
      <c r="AO236" s="1">
        <f>IF(ISNA(VLOOKUP($CZ236,'Audit Values'!$A$2:$AE$439,2,FALSE)),'Preliminary SO66'!X233,VLOOKUP($CZ236,'Audit Values'!$A$2:$AE$439,24,FALSE))</f>
        <v>2</v>
      </c>
      <c r="AP236" s="188">
        <v>2980844</v>
      </c>
      <c r="AQ236" s="113">
        <f>AP236/Weightings!$M$5</f>
        <v>776.7</v>
      </c>
      <c r="AR236" s="113">
        <f t="shared" si="267"/>
        <v>4510.7</v>
      </c>
      <c r="AS236" s="1">
        <f t="shared" si="268"/>
        <v>5287.4</v>
      </c>
      <c r="AT236" s="1">
        <f t="shared" si="269"/>
        <v>5287.4</v>
      </c>
      <c r="AU236" s="2">
        <f t="shared" si="283"/>
        <v>494217</v>
      </c>
      <c r="AV236" s="82">
        <f>IF(ISNA(VLOOKUP($CZ236,'Audit Values'!$A$2:$AC$360,2,FALSE)),"",IF(AND(Weightings!H236&gt;0,VLOOKUP($CZ236,'Audit Values'!$A$2:$AC$360,29,FALSE)&lt;Weightings!H236),Weightings!H236,VLOOKUP($CZ236,'Audit Values'!$A$2:$AC$360,29,FALSE)))</f>
        <v>12</v>
      </c>
      <c r="AW236" s="82" t="str">
        <f>IF(ISNA(VLOOKUP($CZ236,'Audit Values'!$A$2:$AD$360,2,FALSE)),"",VLOOKUP($CZ236,'Audit Values'!$A$2:$AD$360,30,FALSE))</f>
        <v>A</v>
      </c>
      <c r="AX236" s="82" t="str">
        <f>IF(Weightings!G236="","",IF(Weightings!I236="Pending","PX","R"))</f>
        <v/>
      </c>
      <c r="AY236" s="114">
        <f>AR236*Weightings!$M$5+AU236</f>
        <v>17806284</v>
      </c>
      <c r="AZ236" s="2">
        <f>AT236*Weightings!$M$5+AU236</f>
        <v>20787258</v>
      </c>
      <c r="BA236" s="2">
        <f>IF(Weightings!G236&gt;0,Weightings!G236,'Preliminary SO66'!AB233)</f>
        <v>20787258</v>
      </c>
      <c r="BB236" s="2">
        <f t="shared" si="270"/>
        <v>20787258</v>
      </c>
      <c r="BC236" s="124"/>
      <c r="BD236" s="124">
        <f>Weightings!E236</f>
        <v>-575</v>
      </c>
      <c r="BE236" s="124">
        <f>Weightings!F236</f>
        <v>0</v>
      </c>
      <c r="BF236" s="2">
        <f t="shared" si="271"/>
        <v>-575</v>
      </c>
      <c r="BG236" s="2">
        <f t="shared" si="272"/>
        <v>20786683</v>
      </c>
      <c r="BH236" s="2">
        <f>MAX(ROUND(((AR236-AO236)*4433)+AP236,0),ROUND(((AR236-AO236)*4433)+Weightings!B236,0))</f>
        <v>22998522</v>
      </c>
      <c r="BI236" s="174">
        <v>0.3</v>
      </c>
      <c r="BJ236" s="2">
        <f t="shared" si="298"/>
        <v>6899557</v>
      </c>
      <c r="BK236" s="173">
        <v>6770822</v>
      </c>
      <c r="BL236" s="2">
        <f t="shared" si="246"/>
        <v>6770822</v>
      </c>
      <c r="BM236" s="3">
        <f t="shared" si="284"/>
        <v>0.2944</v>
      </c>
      <c r="BN236" s="1">
        <f t="shared" si="273"/>
        <v>0</v>
      </c>
      <c r="BO236" s="4" t="b">
        <f t="shared" si="274"/>
        <v>0</v>
      </c>
      <c r="BP236" s="5">
        <f t="shared" si="275"/>
        <v>0</v>
      </c>
      <c r="BQ236" s="6">
        <f t="shared" si="247"/>
        <v>0</v>
      </c>
      <c r="BR236" s="4">
        <f t="shared" si="276"/>
        <v>0</v>
      </c>
      <c r="BS236" s="4" t="b">
        <f t="shared" si="277"/>
        <v>0</v>
      </c>
      <c r="BT236" s="4">
        <f t="shared" si="278"/>
        <v>0</v>
      </c>
      <c r="BU236" s="6">
        <f t="shared" si="248"/>
        <v>0</v>
      </c>
      <c r="BV236" s="1">
        <f t="shared" si="279"/>
        <v>0</v>
      </c>
      <c r="BW236" s="1">
        <f t="shared" si="280"/>
        <v>121.4</v>
      </c>
      <c r="BX236" s="116">
        <v>140</v>
      </c>
      <c r="BY236" s="7">
        <f t="shared" si="285"/>
        <v>17.66</v>
      </c>
      <c r="BZ236" s="7">
        <f>IF(ROUND((Weightings!$P$5*BY236^Weightings!$P$6*Weightings!$P$8 ),2)&lt;Weightings!$P$7,Weightings!$P$7,ROUND((Weightings!$P$5*BY236^Weightings!$P$6*Weightings!$P$8 ),2))</f>
        <v>585</v>
      </c>
      <c r="CA236" s="8">
        <f>ROUND(BZ236/Weightings!$M$5,4)</f>
        <v>0.15240000000000001</v>
      </c>
      <c r="CB236" s="1">
        <f t="shared" si="286"/>
        <v>376.9</v>
      </c>
      <c r="CC236" s="173">
        <v>0</v>
      </c>
      <c r="CD236" s="173">
        <v>0</v>
      </c>
      <c r="CE236" s="173">
        <v>0</v>
      </c>
      <c r="CF236" s="177">
        <v>0</v>
      </c>
      <c r="CG236" s="2">
        <f>AS236*Weightings!$M$5*CF236</f>
        <v>0</v>
      </c>
      <c r="CH236" s="2">
        <f t="shared" si="250"/>
        <v>0</v>
      </c>
      <c r="CI236" s="117">
        <f t="shared" si="281"/>
        <v>0.29899999999999999</v>
      </c>
      <c r="CJ236" s="4">
        <f t="shared" si="282"/>
        <v>24.7</v>
      </c>
      <c r="CK236" s="1">
        <f t="shared" si="287"/>
        <v>0</v>
      </c>
      <c r="CL236" s="1">
        <f t="shared" si="288"/>
        <v>0</v>
      </c>
      <c r="CM236" s="1">
        <f t="shared" si="289"/>
        <v>0</v>
      </c>
      <c r="CN236" s="1">
        <f>IF(ISNA(VLOOKUP($CZ236,'Audit Values'!$A$2:$AE$439,2,FALSE)),'Preliminary SO66'!T233,VLOOKUP($CZ236,'Audit Values'!$A$2:$AE$439,20,FALSE))</f>
        <v>0</v>
      </c>
      <c r="CO236" s="1">
        <f t="shared" si="254"/>
        <v>0</v>
      </c>
      <c r="CP236" s="183">
        <v>0</v>
      </c>
      <c r="CQ236" s="1">
        <f t="shared" si="255"/>
        <v>0</v>
      </c>
      <c r="CR236" s="2">
        <f>IF(ISNA(VLOOKUP($CZ236,'Audit Values'!$A$2:$AE$439,2,FALSE)),'Preliminary SO66'!V233,VLOOKUP($CZ236,'Audit Values'!$A$2:$AE$439,22,FALSE))</f>
        <v>0</v>
      </c>
      <c r="CS236" s="1">
        <f t="shared" si="256"/>
        <v>0</v>
      </c>
      <c r="CT236" s="2">
        <f>IF(ISNA(VLOOKUP($CZ236,'Audit Values'!$A$2:$AE$439,2,FALSE)),'Preliminary SO66'!W233,VLOOKUP($CZ236,'Audit Values'!$A$2:$AE$439,23,FALSE))</f>
        <v>0</v>
      </c>
      <c r="CU236" s="1">
        <f t="shared" si="301"/>
        <v>0</v>
      </c>
      <c r="CV236" s="1">
        <f t="shared" si="302"/>
        <v>0</v>
      </c>
      <c r="CW236" s="176">
        <v>494217</v>
      </c>
      <c r="CX236" s="2">
        <f>IF(CW236&gt;0,Weightings!$M$11*AR236,0)</f>
        <v>1127675</v>
      </c>
      <c r="CY236" s="2">
        <f t="shared" si="290"/>
        <v>494217</v>
      </c>
      <c r="CZ236" s="108" t="s">
        <v>528</v>
      </c>
    </row>
    <row r="237" spans="1:104">
      <c r="A237" s="82">
        <v>452</v>
      </c>
      <c r="B237" s="4" t="s">
        <v>103</v>
      </c>
      <c r="C237" s="4" t="s">
        <v>863</v>
      </c>
      <c r="D237" s="1">
        <v>449.7</v>
      </c>
      <c r="E237" s="1">
        <v>0</v>
      </c>
      <c r="F237" s="1">
        <f t="shared" si="294"/>
        <v>449.7</v>
      </c>
      <c r="G237" s="1">
        <v>437.5</v>
      </c>
      <c r="H237" s="1">
        <v>0</v>
      </c>
      <c r="I237" s="1">
        <f t="shared" si="257"/>
        <v>437.5</v>
      </c>
      <c r="J237" s="1">
        <f t="shared" si="258"/>
        <v>419.1</v>
      </c>
      <c r="K237" s="1">
        <f>IF(ISNA(VLOOKUP($CZ237,'Audit Values'!$A$2:$AE$439,2,FALSE)),'Preliminary SO66'!B234,VLOOKUP($CZ237,'Audit Values'!$A$2:$AE$439,31,FALSE))</f>
        <v>419.1</v>
      </c>
      <c r="L237" s="1">
        <f t="shared" si="259"/>
        <v>437.5</v>
      </c>
      <c r="M237" s="1">
        <f>IF(ISNA(VLOOKUP($CZ237,'Audit Values'!$A$2:$AE$439,2,FALSE)),'Preliminary SO66'!Z234,VLOOKUP($CZ237,'Audit Values'!$A$2:$AE$439,26,FALSE))</f>
        <v>0</v>
      </c>
      <c r="N237" s="1">
        <f t="shared" si="260"/>
        <v>437.5</v>
      </c>
      <c r="O237" s="1">
        <f>IF(ISNA(VLOOKUP($CZ237,'Audit Values'!$A$2:$AE$439,2,FALSE)),'Preliminary SO66'!C234,IF(VLOOKUP($CZ237,'Audit Values'!$A$2:$AE$439,28,FALSE)="",VLOOKUP($CZ237,'Audit Values'!$A$2:$AE$439,3,FALSE),VLOOKUP($CZ237,'Audit Values'!$A$2:$AE$439,28,FALSE)))</f>
        <v>6</v>
      </c>
      <c r="P237" s="109">
        <f t="shared" si="261"/>
        <v>425.1</v>
      </c>
      <c r="Q237" s="110">
        <f t="shared" si="262"/>
        <v>425.1</v>
      </c>
      <c r="R237" s="111">
        <f t="shared" si="263"/>
        <v>425.1</v>
      </c>
      <c r="S237" s="1">
        <f t="shared" si="264"/>
        <v>443.5</v>
      </c>
      <c r="T237" s="1">
        <f t="shared" si="293"/>
        <v>0</v>
      </c>
      <c r="U237" s="1">
        <f t="shared" si="265"/>
        <v>193.1</v>
      </c>
      <c r="V237" s="1">
        <f t="shared" si="251"/>
        <v>193.1</v>
      </c>
      <c r="W237" s="1">
        <f t="shared" si="252"/>
        <v>0</v>
      </c>
      <c r="X237" s="1">
        <f>IF(ISNA(VLOOKUP($CZ237,'Audit Values'!$A$2:$AE$439,2,FALSE)),'Preliminary SO66'!D234,VLOOKUP($CZ237,'Audit Values'!$A$2:$AE$439,4,FALSE))</f>
        <v>91.5</v>
      </c>
      <c r="Y237" s="1">
        <f>ROUND((X237/6)*Weightings!$M$6,1)</f>
        <v>7.6</v>
      </c>
      <c r="Z237" s="1">
        <f>IF(ISNA(VLOOKUP($CZ237,'Audit Values'!$A$2:$AE$439,2,FALSE)),'Preliminary SO66'!F234,VLOOKUP($CZ237,'Audit Values'!$A$2:$AE$439,6,FALSE))</f>
        <v>591.70000000000005</v>
      </c>
      <c r="AA237" s="1">
        <f>ROUND((Z237/6)*Weightings!$M$7,1)</f>
        <v>39</v>
      </c>
      <c r="AB237" s="2">
        <f>IF(ISNA(VLOOKUP($CZ237,'Audit Values'!$A$2:$AE$439,2,FALSE)),'Preliminary SO66'!H234,VLOOKUP($CZ237,'Audit Values'!$A$2:$AE$439,8,FALSE))</f>
        <v>200</v>
      </c>
      <c r="AC237" s="1">
        <f>ROUND(AB237*Weightings!$M$8,1)</f>
        <v>91.2</v>
      </c>
      <c r="AD237" s="1">
        <f t="shared" si="249"/>
        <v>14.1</v>
      </c>
      <c r="AE237" s="185">
        <v>38</v>
      </c>
      <c r="AF237" s="1">
        <f>AE237*Weightings!$M$9</f>
        <v>1.8</v>
      </c>
      <c r="AG237" s="1">
        <f>IF(ISNA(VLOOKUP($CZ237,'Audit Values'!$A$2:$AE$439,2,FALSE)),'Preliminary SO66'!L234,VLOOKUP($CZ237,'Audit Values'!$A$2:$AE$439,12,FALSE))</f>
        <v>0</v>
      </c>
      <c r="AH237" s="1">
        <f>ROUND(AG237*Weightings!$M$10,1)</f>
        <v>0</v>
      </c>
      <c r="AI237" s="1">
        <f>IF(ISNA(VLOOKUP($CZ237,'Audit Values'!$A$2:$AE$439,2,FALSE)),'Preliminary SO66'!O234,VLOOKUP($CZ237,'Audit Values'!$A$2:$AE$439,15,FALSE))</f>
        <v>109</v>
      </c>
      <c r="AJ237" s="1">
        <f t="shared" si="266"/>
        <v>43.2</v>
      </c>
      <c r="AK237" s="1">
        <f>CC237/Weightings!$M$5</f>
        <v>0</v>
      </c>
      <c r="AL237" s="1">
        <f>CD237/Weightings!$M$5</f>
        <v>0</v>
      </c>
      <c r="AM237" s="1">
        <f>CH237/Weightings!$M$5</f>
        <v>0</v>
      </c>
      <c r="AN237" s="1">
        <f t="shared" si="253"/>
        <v>0</v>
      </c>
      <c r="AO237" s="1">
        <f>IF(ISNA(VLOOKUP($CZ237,'Audit Values'!$A$2:$AE$439,2,FALSE)),'Preliminary SO66'!X234,VLOOKUP($CZ237,'Audit Values'!$A$2:$AE$439,24,FALSE))</f>
        <v>0</v>
      </c>
      <c r="AP237" s="188">
        <v>260992</v>
      </c>
      <c r="AQ237" s="113">
        <f>AP237/Weightings!$M$5</f>
        <v>68</v>
      </c>
      <c r="AR237" s="113">
        <f t="shared" si="267"/>
        <v>833.5</v>
      </c>
      <c r="AS237" s="1">
        <f t="shared" si="268"/>
        <v>901.5</v>
      </c>
      <c r="AT237" s="1">
        <f t="shared" si="269"/>
        <v>901.5</v>
      </c>
      <c r="AU237" s="2">
        <f t="shared" si="283"/>
        <v>0</v>
      </c>
      <c r="AV237" s="82">
        <f>IF(ISNA(VLOOKUP($CZ237,'Audit Values'!$A$2:$AC$360,2,FALSE)),"",IF(AND(Weightings!H237&gt;0,VLOOKUP($CZ237,'Audit Values'!$A$2:$AC$360,29,FALSE)&lt;Weightings!H237),Weightings!H237,VLOOKUP($CZ237,'Audit Values'!$A$2:$AC$360,29,FALSE)))</f>
        <v>31</v>
      </c>
      <c r="AW237" s="82" t="str">
        <f>IF(ISNA(VLOOKUP($CZ237,'Audit Values'!$A$2:$AD$360,2,FALSE)),"",VLOOKUP($CZ237,'Audit Values'!$A$2:$AD$360,30,FALSE))</f>
        <v>A</v>
      </c>
      <c r="AX237" s="82" t="str">
        <f>IF(Weightings!G237="","",IF(Weightings!I237="Pending","PX","R"))</f>
        <v/>
      </c>
      <c r="AY237" s="114">
        <f>AR237*Weightings!$M$5+AU237</f>
        <v>3198973</v>
      </c>
      <c r="AZ237" s="2">
        <f>AT237*Weightings!$M$5+AU237</f>
        <v>3459957</v>
      </c>
      <c r="BA237" s="2">
        <f>IF(Weightings!G237&gt;0,Weightings!G237,'Preliminary SO66'!AB234)</f>
        <v>3500640</v>
      </c>
      <c r="BB237" s="2">
        <f t="shared" si="270"/>
        <v>3459957</v>
      </c>
      <c r="BC237" s="124"/>
      <c r="BD237" s="124">
        <f>Weightings!E237</f>
        <v>0</v>
      </c>
      <c r="BE237" s="124">
        <f>Weightings!F237</f>
        <v>0</v>
      </c>
      <c r="BF237" s="2">
        <f t="shared" si="271"/>
        <v>0</v>
      </c>
      <c r="BG237" s="2">
        <f t="shared" si="272"/>
        <v>3459957</v>
      </c>
      <c r="BH237" s="2">
        <f>MAX(ROUND(((AR237-AO237)*4433)+AP237,0),ROUND(((AR237-AO237)*4433)+Weightings!B237,0))</f>
        <v>3984141</v>
      </c>
      <c r="BI237" s="174">
        <v>0.3</v>
      </c>
      <c r="BJ237" s="2">
        <f t="shared" si="298"/>
        <v>1195242</v>
      </c>
      <c r="BK237" s="173">
        <v>1202557</v>
      </c>
      <c r="BL237" s="2">
        <f t="shared" si="246"/>
        <v>1195242</v>
      </c>
      <c r="BM237" s="3">
        <f t="shared" si="284"/>
        <v>0.3</v>
      </c>
      <c r="BN237" s="1">
        <f t="shared" si="273"/>
        <v>0</v>
      </c>
      <c r="BO237" s="4" t="b">
        <f t="shared" si="274"/>
        <v>0</v>
      </c>
      <c r="BP237" s="5">
        <f t="shared" si="275"/>
        <v>0</v>
      </c>
      <c r="BQ237" s="6">
        <f t="shared" si="247"/>
        <v>0</v>
      </c>
      <c r="BR237" s="4">
        <f t="shared" si="276"/>
        <v>0</v>
      </c>
      <c r="BS237" s="4" t="b">
        <f t="shared" si="277"/>
        <v>1</v>
      </c>
      <c r="BT237" s="4">
        <f t="shared" si="278"/>
        <v>177.5813</v>
      </c>
      <c r="BU237" s="6">
        <f t="shared" si="248"/>
        <v>0.43543199999999999</v>
      </c>
      <c r="BV237" s="1">
        <f t="shared" si="279"/>
        <v>193.1</v>
      </c>
      <c r="BW237" s="1">
        <f t="shared" si="280"/>
        <v>0</v>
      </c>
      <c r="BX237" s="116">
        <v>690</v>
      </c>
      <c r="BY237" s="7">
        <f t="shared" si="285"/>
        <v>0.16</v>
      </c>
      <c r="BZ237" s="7">
        <f>IF(ROUND((Weightings!$P$5*BY237^Weightings!$P$6*Weightings!$P$8 ),2)&lt;Weightings!$P$7,Weightings!$P$7,ROUND((Weightings!$P$5*BY237^Weightings!$P$6*Weightings!$P$8 ),2))</f>
        <v>1522.35</v>
      </c>
      <c r="CA237" s="8">
        <f>ROUND(BZ237/Weightings!$M$5,4)</f>
        <v>0.3967</v>
      </c>
      <c r="CB237" s="1">
        <f t="shared" si="286"/>
        <v>43.2</v>
      </c>
      <c r="CC237" s="173">
        <v>0</v>
      </c>
      <c r="CD237" s="173">
        <v>0</v>
      </c>
      <c r="CE237" s="173">
        <v>0</v>
      </c>
      <c r="CF237" s="177">
        <v>0</v>
      </c>
      <c r="CG237" s="2">
        <f>AS237*Weightings!$M$5*CF237</f>
        <v>0</v>
      </c>
      <c r="CH237" s="2">
        <f t="shared" si="250"/>
        <v>0</v>
      </c>
      <c r="CI237" s="117">
        <f t="shared" si="281"/>
        <v>0.45100000000000001</v>
      </c>
      <c r="CJ237" s="4">
        <f t="shared" si="282"/>
        <v>0.6</v>
      </c>
      <c r="CK237" s="1">
        <f t="shared" si="287"/>
        <v>0</v>
      </c>
      <c r="CL237" s="1">
        <f t="shared" si="288"/>
        <v>0</v>
      </c>
      <c r="CM237" s="1">
        <f t="shared" si="289"/>
        <v>14.1</v>
      </c>
      <c r="CN237" s="1">
        <f>IF(ISNA(VLOOKUP($CZ237,'Audit Values'!$A$2:$AE$439,2,FALSE)),'Preliminary SO66'!T234,VLOOKUP($CZ237,'Audit Values'!$A$2:$AE$439,20,FALSE))</f>
        <v>0</v>
      </c>
      <c r="CO237" s="1">
        <f t="shared" si="254"/>
        <v>0</v>
      </c>
      <c r="CP237" s="183">
        <v>0</v>
      </c>
      <c r="CQ237" s="1">
        <f t="shared" si="255"/>
        <v>0</v>
      </c>
      <c r="CR237" s="2">
        <f>IF(ISNA(VLOOKUP($CZ237,'Audit Values'!$A$2:$AE$439,2,FALSE)),'Preliminary SO66'!V234,VLOOKUP($CZ237,'Audit Values'!$A$2:$AE$439,22,FALSE))</f>
        <v>0</v>
      </c>
      <c r="CS237" s="1">
        <f t="shared" si="256"/>
        <v>0</v>
      </c>
      <c r="CT237" s="2">
        <f>IF(ISNA(VLOOKUP($CZ237,'Audit Values'!$A$2:$AE$439,2,FALSE)),'Preliminary SO66'!W234,VLOOKUP($CZ237,'Audit Values'!$A$2:$AE$439,23,FALSE))</f>
        <v>0</v>
      </c>
      <c r="CU237" s="1">
        <f t="shared" si="301"/>
        <v>0</v>
      </c>
      <c r="CV237" s="1">
        <f t="shared" si="302"/>
        <v>0</v>
      </c>
      <c r="CW237" s="176">
        <v>0</v>
      </c>
      <c r="CX237" s="2">
        <f>IF(CW237&gt;0,Weightings!$M$11*AR237,0)</f>
        <v>0</v>
      </c>
      <c r="CY237" s="2">
        <f t="shared" si="290"/>
        <v>0</v>
      </c>
      <c r="CZ237" s="108" t="s">
        <v>529</v>
      </c>
    </row>
    <row r="238" spans="1:104">
      <c r="A238" s="82">
        <v>453</v>
      </c>
      <c r="B238" s="4" t="s">
        <v>13</v>
      </c>
      <c r="C238" s="4" t="s">
        <v>864</v>
      </c>
      <c r="D238" s="1">
        <v>3336.2</v>
      </c>
      <c r="E238" s="1">
        <v>30.6</v>
      </c>
      <c r="F238" s="1">
        <f t="shared" si="294"/>
        <v>3366.8</v>
      </c>
      <c r="G238" s="1">
        <v>3462.6</v>
      </c>
      <c r="H238" s="1">
        <v>28.8</v>
      </c>
      <c r="I238" s="1">
        <f t="shared" si="257"/>
        <v>3491.4</v>
      </c>
      <c r="J238" s="1">
        <f t="shared" si="258"/>
        <v>3540.7</v>
      </c>
      <c r="K238" s="1">
        <f>IF(ISNA(VLOOKUP($CZ238,'Audit Values'!$A$2:$AE$439,2,FALSE)),'Preliminary SO66'!B235,VLOOKUP($CZ238,'Audit Values'!$A$2:$AE$439,31,FALSE))</f>
        <v>3444.8</v>
      </c>
      <c r="L238" s="1">
        <f t="shared" si="259"/>
        <v>3491.4</v>
      </c>
      <c r="M238" s="1">
        <f>IF(ISNA(VLOOKUP($CZ238,'Audit Values'!$A$2:$AE$439,2,FALSE)),'Preliminary SO66'!Z235,VLOOKUP($CZ238,'Audit Values'!$A$2:$AE$439,26,FALSE))</f>
        <v>27.7</v>
      </c>
      <c r="N238" s="1">
        <f t="shared" si="260"/>
        <v>3519.1</v>
      </c>
      <c r="O238" s="1">
        <f>IF(ISNA(VLOOKUP($CZ238,'Audit Values'!$A$2:$AE$439,2,FALSE)),'Preliminary SO66'!C235,IF(VLOOKUP($CZ238,'Audit Values'!$A$2:$AE$439,28,FALSE)="",VLOOKUP($CZ238,'Audit Values'!$A$2:$AE$439,3,FALSE),VLOOKUP($CZ238,'Audit Values'!$A$2:$AE$439,28,FALSE)))</f>
        <v>59</v>
      </c>
      <c r="P238" s="109">
        <f t="shared" si="261"/>
        <v>3503.8</v>
      </c>
      <c r="Q238" s="110">
        <f t="shared" si="262"/>
        <v>3599.7</v>
      </c>
      <c r="R238" s="111">
        <f t="shared" si="263"/>
        <v>3627.4</v>
      </c>
      <c r="S238" s="1">
        <f t="shared" si="264"/>
        <v>3578.1</v>
      </c>
      <c r="T238" s="1">
        <f t="shared" si="293"/>
        <v>95.9</v>
      </c>
      <c r="U238" s="1">
        <f t="shared" si="265"/>
        <v>125.4</v>
      </c>
      <c r="V238" s="1">
        <f t="shared" si="251"/>
        <v>0</v>
      </c>
      <c r="W238" s="1">
        <f t="shared" si="252"/>
        <v>125.4</v>
      </c>
      <c r="X238" s="1">
        <f>IF(ISNA(VLOOKUP($CZ238,'Audit Values'!$A$2:$AE$439,2,FALSE)),'Preliminary SO66'!D235,VLOOKUP($CZ238,'Audit Values'!$A$2:$AE$439,4,FALSE))</f>
        <v>560.1</v>
      </c>
      <c r="Y238" s="1">
        <f>ROUND((X238/6)*Weightings!$M$6,1)</f>
        <v>46.7</v>
      </c>
      <c r="Z238" s="1">
        <f>IF(ISNA(VLOOKUP($CZ238,'Audit Values'!$A$2:$AE$439,2,FALSE)),'Preliminary SO66'!F235,VLOOKUP($CZ238,'Audit Values'!$A$2:$AE$439,6,FALSE))</f>
        <v>75.7</v>
      </c>
      <c r="AA238" s="1">
        <f>ROUND((Z238/6)*Weightings!$M$7,1)</f>
        <v>5</v>
      </c>
      <c r="AB238" s="2">
        <f>IF(ISNA(VLOOKUP($CZ238,'Audit Values'!$A$2:$AE$439,2,FALSE)),'Preliminary SO66'!H235,VLOOKUP($CZ238,'Audit Values'!$A$2:$AE$439,8,FALSE))</f>
        <v>2032</v>
      </c>
      <c r="AC238" s="1">
        <f>ROUND(AB238*Weightings!$M$8,1)</f>
        <v>926.6</v>
      </c>
      <c r="AD238" s="1">
        <f t="shared" si="249"/>
        <v>213.4</v>
      </c>
      <c r="AE238" s="185">
        <v>294</v>
      </c>
      <c r="AF238" s="1">
        <f>AE238*Weightings!$M$9</f>
        <v>13.7</v>
      </c>
      <c r="AG238" s="1">
        <f>IF(ISNA(VLOOKUP($CZ238,'Audit Values'!$A$2:$AE$439,2,FALSE)),'Preliminary SO66'!L235,VLOOKUP($CZ238,'Audit Values'!$A$2:$AE$439,12,FALSE))</f>
        <v>0</v>
      </c>
      <c r="AH238" s="1">
        <f>ROUND(AG238*Weightings!$M$10,1)</f>
        <v>0</v>
      </c>
      <c r="AI238" s="1">
        <f>IF(ISNA(VLOOKUP($CZ238,'Audit Values'!$A$2:$AE$439,2,FALSE)),'Preliminary SO66'!O235,VLOOKUP($CZ238,'Audit Values'!$A$2:$AE$439,15,FALSE))</f>
        <v>676</v>
      </c>
      <c r="AJ238" s="1">
        <f t="shared" si="266"/>
        <v>103</v>
      </c>
      <c r="AK238" s="1">
        <f>CC238/Weightings!$M$5</f>
        <v>0</v>
      </c>
      <c r="AL238" s="1">
        <f>CD238/Weightings!$M$5</f>
        <v>0</v>
      </c>
      <c r="AM238" s="1">
        <f>CH238/Weightings!$M$5</f>
        <v>0</v>
      </c>
      <c r="AN238" s="1">
        <f t="shared" si="253"/>
        <v>109.2</v>
      </c>
      <c r="AO238" s="1">
        <f>IF(ISNA(VLOOKUP($CZ238,'Audit Values'!$A$2:$AE$439,2,FALSE)),'Preliminary SO66'!X235,VLOOKUP($CZ238,'Audit Values'!$A$2:$AE$439,24,FALSE))</f>
        <v>0</v>
      </c>
      <c r="AP238" s="188">
        <v>4101207</v>
      </c>
      <c r="AQ238" s="113">
        <f>AP238/Weightings!$M$5</f>
        <v>1068.5999999999999</v>
      </c>
      <c r="AR238" s="113">
        <f t="shared" si="267"/>
        <v>5121.1000000000004</v>
      </c>
      <c r="AS238" s="1">
        <f t="shared" si="268"/>
        <v>6189.7</v>
      </c>
      <c r="AT238" s="1">
        <f t="shared" si="269"/>
        <v>6189.7</v>
      </c>
      <c r="AU238" s="2">
        <f t="shared" si="283"/>
        <v>0</v>
      </c>
      <c r="AV238" s="142">
        <f>IF(ISNA(VLOOKUP($CZ238,'Audit Values'!$A$2:$AC$360,2,FALSE)),"",IF(AND(Weightings!H238&gt;0,VLOOKUP($CZ238,'Audit Values'!$A$2:$AC$360,29,FALSE)&lt;Weightings!H238),Weightings!H238,VLOOKUP($CZ238,'Audit Values'!$A$2:$AC$360,29,FALSE)))</f>
        <v>22</v>
      </c>
      <c r="AW238" s="142" t="str">
        <f>IF(ISNA(VLOOKUP($CZ238,'Audit Values'!$A$2:$AD$360,2,FALSE)),"",VLOOKUP($CZ238,'Audit Values'!$A$2:$AD$360,30,FALSE))</f>
        <v>AM</v>
      </c>
      <c r="AX238" s="159" t="str">
        <f>IF(Weightings!G238="","",IF(Weightings!I238="Pending","PX","R"))</f>
        <v/>
      </c>
      <c r="AY238" s="114">
        <f>AR238*Weightings!$M$5+AU238</f>
        <v>19654782</v>
      </c>
      <c r="AZ238" s="2">
        <f>AT238*Weightings!$M$5+AU238</f>
        <v>23756069</v>
      </c>
      <c r="BA238" s="2">
        <f>IF(Weightings!G238&gt;0,Weightings!G238,'Preliminary SO66'!AB235)</f>
        <v>24452786</v>
      </c>
      <c r="BB238" s="2">
        <f t="shared" si="270"/>
        <v>23756069</v>
      </c>
      <c r="BC238" s="124"/>
      <c r="BD238" s="124">
        <f>Weightings!E238</f>
        <v>-2876</v>
      </c>
      <c r="BE238" s="124">
        <f>Weightings!F238</f>
        <v>0</v>
      </c>
      <c r="BF238" s="2">
        <f t="shared" si="271"/>
        <v>-2876</v>
      </c>
      <c r="BG238" s="2">
        <f t="shared" si="272"/>
        <v>23753193</v>
      </c>
      <c r="BH238" s="2">
        <f>MAX(ROUND(((AR238-AO238)*4433)+AP238,0),ROUND(((AR238-AO238)*4433)+Weightings!B238,0))</f>
        <v>26803043</v>
      </c>
      <c r="BI238" s="174">
        <v>0.3</v>
      </c>
      <c r="BJ238" s="2">
        <f t="shared" si="298"/>
        <v>8040913</v>
      </c>
      <c r="BK238" s="173">
        <v>8067133</v>
      </c>
      <c r="BL238" s="2">
        <f t="shared" si="246"/>
        <v>8040913</v>
      </c>
      <c r="BM238" s="3">
        <f t="shared" si="284"/>
        <v>0.3</v>
      </c>
      <c r="BN238" s="1">
        <f t="shared" si="273"/>
        <v>0</v>
      </c>
      <c r="BO238" s="4" t="b">
        <f t="shared" si="274"/>
        <v>0</v>
      </c>
      <c r="BP238" s="5">
        <f t="shared" si="275"/>
        <v>0</v>
      </c>
      <c r="BQ238" s="6">
        <f t="shared" si="247"/>
        <v>0</v>
      </c>
      <c r="BR238" s="4">
        <f t="shared" si="276"/>
        <v>0</v>
      </c>
      <c r="BS238" s="4" t="b">
        <f t="shared" si="277"/>
        <v>0</v>
      </c>
      <c r="BT238" s="4">
        <f t="shared" si="278"/>
        <v>0</v>
      </c>
      <c r="BU238" s="6">
        <f t="shared" si="248"/>
        <v>0</v>
      </c>
      <c r="BV238" s="1">
        <f t="shared" si="279"/>
        <v>0</v>
      </c>
      <c r="BW238" s="1">
        <f t="shared" si="280"/>
        <v>125.4</v>
      </c>
      <c r="BX238" s="116">
        <v>17</v>
      </c>
      <c r="BY238" s="7">
        <f t="shared" si="285"/>
        <v>39.76</v>
      </c>
      <c r="BZ238" s="7">
        <f>IF(ROUND((Weightings!$P$5*BY238^Weightings!$P$6*Weightings!$P$8 ),2)&lt;Weightings!$P$7,Weightings!$P$7,ROUND((Weightings!$P$5*BY238^Weightings!$P$6*Weightings!$P$8 ),2))</f>
        <v>585</v>
      </c>
      <c r="CA238" s="8">
        <f>ROUND(BZ238/Weightings!$M$5,4)</f>
        <v>0.15240000000000001</v>
      </c>
      <c r="CB238" s="1">
        <f t="shared" si="286"/>
        <v>103</v>
      </c>
      <c r="CC238" s="173">
        <v>0</v>
      </c>
      <c r="CD238" s="173">
        <v>0</v>
      </c>
      <c r="CE238" s="173">
        <v>0</v>
      </c>
      <c r="CF238" s="177">
        <v>0</v>
      </c>
      <c r="CG238" s="2">
        <f>AS238*Weightings!$M$5*CF238</f>
        <v>0</v>
      </c>
      <c r="CH238" s="2">
        <f t="shared" si="250"/>
        <v>0</v>
      </c>
      <c r="CI238" s="117">
        <f t="shared" si="281"/>
        <v>0.56799999999999995</v>
      </c>
      <c r="CJ238" s="4">
        <f t="shared" si="282"/>
        <v>210.5</v>
      </c>
      <c r="CK238" s="1">
        <f t="shared" si="287"/>
        <v>213.4</v>
      </c>
      <c r="CL238" s="1">
        <f t="shared" si="288"/>
        <v>0</v>
      </c>
      <c r="CM238" s="1">
        <f t="shared" si="289"/>
        <v>0</v>
      </c>
      <c r="CN238" s="1">
        <f>IF(ISNA(VLOOKUP($CZ238,'Audit Values'!$A$2:$AE$439,2,FALSE)),'Preliminary SO66'!T235,VLOOKUP($CZ238,'Audit Values'!$A$2:$AE$439,20,FALSE))</f>
        <v>95.9</v>
      </c>
      <c r="CO238" s="1">
        <f t="shared" si="254"/>
        <v>100.7</v>
      </c>
      <c r="CP238" s="181">
        <v>34</v>
      </c>
      <c r="CQ238" s="1">
        <f t="shared" si="255"/>
        <v>8.5</v>
      </c>
      <c r="CR238" s="2">
        <f>IF(ISNA(VLOOKUP($CZ238,'Audit Values'!$A$2:$AE$439,2,FALSE)),'Preliminary SO66'!V235,VLOOKUP($CZ238,'Audit Values'!$A$2:$AE$439,22,FALSE))</f>
        <v>0</v>
      </c>
      <c r="CS238" s="1">
        <f t="shared" si="256"/>
        <v>0</v>
      </c>
      <c r="CT238" s="2">
        <f>IF(ISNA(VLOOKUP($CZ238,'Audit Values'!$A$2:$AE$439,2,FALSE)),'Preliminary SO66'!W235,VLOOKUP($CZ238,'Audit Values'!$A$2:$AE$439,23,FALSE))</f>
        <v>0</v>
      </c>
      <c r="CU238" s="1">
        <f t="shared" si="301"/>
        <v>0</v>
      </c>
      <c r="CV238" s="1">
        <f t="shared" si="302"/>
        <v>109.2</v>
      </c>
      <c r="CW238" s="176">
        <v>0</v>
      </c>
      <c r="CX238" s="2">
        <f>IF(CW238&gt;0,Weightings!$M$11*AR238,0)</f>
        <v>0</v>
      </c>
      <c r="CY238" s="2">
        <f t="shared" si="290"/>
        <v>0</v>
      </c>
      <c r="CZ238" s="108" t="s">
        <v>530</v>
      </c>
    </row>
    <row r="239" spans="1:104">
      <c r="A239" s="82">
        <v>454</v>
      </c>
      <c r="B239" s="4" t="s">
        <v>98</v>
      </c>
      <c r="C239" s="4" t="s">
        <v>865</v>
      </c>
      <c r="D239" s="1">
        <v>311.2</v>
      </c>
      <c r="E239" s="1">
        <v>0</v>
      </c>
      <c r="F239" s="1">
        <f t="shared" si="294"/>
        <v>311.2</v>
      </c>
      <c r="G239" s="1">
        <v>310.5</v>
      </c>
      <c r="H239" s="1">
        <v>0</v>
      </c>
      <c r="I239" s="1">
        <f t="shared" si="257"/>
        <v>310.5</v>
      </c>
      <c r="J239" s="1">
        <f t="shared" si="258"/>
        <v>306.5</v>
      </c>
      <c r="K239" s="1">
        <f>IF(ISNA(VLOOKUP($CZ239,'Audit Values'!$A$2:$AE$439,2,FALSE)),'Preliminary SO66'!B236,VLOOKUP($CZ239,'Audit Values'!$A$2:$AE$439,31,FALSE))</f>
        <v>306.5</v>
      </c>
      <c r="L239" s="1">
        <f t="shared" si="259"/>
        <v>310.5</v>
      </c>
      <c r="M239" s="1">
        <f>IF(ISNA(VLOOKUP($CZ239,'Audit Values'!$A$2:$AE$439,2,FALSE)),'Preliminary SO66'!Z236,VLOOKUP($CZ239,'Audit Values'!$A$2:$AE$439,26,FALSE))</f>
        <v>0</v>
      </c>
      <c r="N239" s="1">
        <f t="shared" si="260"/>
        <v>310.5</v>
      </c>
      <c r="O239" s="1">
        <f>IF(ISNA(VLOOKUP($CZ239,'Audit Values'!$A$2:$AE$439,2,FALSE)),'Preliminary SO66'!C236,IF(VLOOKUP($CZ239,'Audit Values'!$A$2:$AE$439,28,FALSE)="",VLOOKUP($CZ239,'Audit Values'!$A$2:$AE$439,3,FALSE),VLOOKUP($CZ239,'Audit Values'!$A$2:$AE$439,28,FALSE)))</f>
        <v>4</v>
      </c>
      <c r="P239" s="109">
        <f t="shared" si="261"/>
        <v>310.5</v>
      </c>
      <c r="Q239" s="110">
        <f t="shared" si="262"/>
        <v>310.5</v>
      </c>
      <c r="R239" s="111">
        <f t="shared" si="263"/>
        <v>310.5</v>
      </c>
      <c r="S239" s="1">
        <f t="shared" si="264"/>
        <v>314.5</v>
      </c>
      <c r="T239" s="1">
        <f t="shared" si="293"/>
        <v>0</v>
      </c>
      <c r="U239" s="1">
        <f t="shared" si="265"/>
        <v>150.69999999999999</v>
      </c>
      <c r="V239" s="1">
        <f t="shared" si="251"/>
        <v>150.69999999999999</v>
      </c>
      <c r="W239" s="1">
        <f t="shared" si="252"/>
        <v>0</v>
      </c>
      <c r="X239" s="1">
        <f>IF(ISNA(VLOOKUP($CZ239,'Audit Values'!$A$2:$AE$439,2,FALSE)),'Preliminary SO66'!D236,VLOOKUP($CZ239,'Audit Values'!$A$2:$AE$439,4,FALSE))</f>
        <v>73.7</v>
      </c>
      <c r="Y239" s="1">
        <f>ROUND((X239/6)*Weightings!$M$6,1)</f>
        <v>6.1</v>
      </c>
      <c r="Z239" s="1">
        <f>IF(ISNA(VLOOKUP($CZ239,'Audit Values'!$A$2:$AE$439,2,FALSE)),'Preliminary SO66'!F236,VLOOKUP($CZ239,'Audit Values'!$A$2:$AE$439,6,FALSE))</f>
        <v>0.5</v>
      </c>
      <c r="AA239" s="1">
        <f>ROUND((Z239/6)*Weightings!$M$7,1)</f>
        <v>0</v>
      </c>
      <c r="AB239" s="2">
        <f>IF(ISNA(VLOOKUP($CZ239,'Audit Values'!$A$2:$AE$439,2,FALSE)),'Preliminary SO66'!H236,VLOOKUP($CZ239,'Audit Values'!$A$2:$AE$439,8,FALSE))</f>
        <v>123</v>
      </c>
      <c r="AC239" s="1">
        <f>ROUND(AB239*Weightings!$M$8,1)</f>
        <v>56.1</v>
      </c>
      <c r="AD239" s="1">
        <f t="shared" si="249"/>
        <v>3.5</v>
      </c>
      <c r="AE239" s="185">
        <v>14</v>
      </c>
      <c r="AF239" s="1">
        <f>AE239*Weightings!$M$9</f>
        <v>0.7</v>
      </c>
      <c r="AG239" s="1">
        <f>IF(ISNA(VLOOKUP($CZ239,'Audit Values'!$A$2:$AE$439,2,FALSE)),'Preliminary SO66'!L236,VLOOKUP($CZ239,'Audit Values'!$A$2:$AE$439,12,FALSE))</f>
        <v>0</v>
      </c>
      <c r="AH239" s="1">
        <f>ROUND(AG239*Weightings!$M$10,1)</f>
        <v>0</v>
      </c>
      <c r="AI239" s="1">
        <f>IF(ISNA(VLOOKUP($CZ239,'Audit Values'!$A$2:$AE$439,2,FALSE)),'Preliminary SO66'!O236,VLOOKUP($CZ239,'Audit Values'!$A$2:$AE$439,15,FALSE))</f>
        <v>62</v>
      </c>
      <c r="AJ239" s="1">
        <f t="shared" si="266"/>
        <v>16.8</v>
      </c>
      <c r="AK239" s="1">
        <f>CC239/Weightings!$M$5</f>
        <v>0</v>
      </c>
      <c r="AL239" s="1">
        <f>CD239/Weightings!$M$5</f>
        <v>0</v>
      </c>
      <c r="AM239" s="1">
        <f>CH239/Weightings!$M$5</f>
        <v>0</v>
      </c>
      <c r="AN239" s="1">
        <f t="shared" si="253"/>
        <v>0</v>
      </c>
      <c r="AO239" s="1">
        <f>IF(ISNA(VLOOKUP($CZ239,'Audit Values'!$A$2:$AE$439,2,FALSE)),'Preliminary SO66'!X236,VLOOKUP($CZ239,'Audit Values'!$A$2:$AE$439,24,FALSE))</f>
        <v>0</v>
      </c>
      <c r="AP239" s="188">
        <v>360651</v>
      </c>
      <c r="AQ239" s="113">
        <f>AP239/Weightings!$M$5</f>
        <v>94</v>
      </c>
      <c r="AR239" s="113">
        <f t="shared" si="267"/>
        <v>548.4</v>
      </c>
      <c r="AS239" s="1">
        <f t="shared" si="268"/>
        <v>642.4</v>
      </c>
      <c r="AT239" s="1">
        <f t="shared" si="269"/>
        <v>642.4</v>
      </c>
      <c r="AU239" s="2">
        <f t="shared" si="283"/>
        <v>0</v>
      </c>
      <c r="AV239" s="82">
        <f>IF(ISNA(VLOOKUP($CZ239,'Audit Values'!$A$2:$AC$360,2,FALSE)),"",IF(AND(Weightings!H239&gt;0,VLOOKUP($CZ239,'Audit Values'!$A$2:$AC$360,29,FALSE)&lt;Weightings!H239),Weightings!H239,VLOOKUP($CZ239,'Audit Values'!$A$2:$AC$360,29,FALSE)))</f>
        <v>13</v>
      </c>
      <c r="AW239" s="82" t="str">
        <f>IF(ISNA(VLOOKUP($CZ239,'Audit Values'!$A$2:$AD$360,2,FALSE)),"",VLOOKUP($CZ239,'Audit Values'!$A$2:$AD$360,30,FALSE))</f>
        <v>A</v>
      </c>
      <c r="AX239" s="82" t="str">
        <f>IF(Weightings!G239="","",IF(Weightings!I239="Pending","PX","R"))</f>
        <v/>
      </c>
      <c r="AY239" s="114">
        <f>AR239*Weightings!$M$5+AU239</f>
        <v>2104759</v>
      </c>
      <c r="AZ239" s="2">
        <f>AT239*Weightings!$M$5+AU239</f>
        <v>2465531</v>
      </c>
      <c r="BA239" s="2">
        <f>IF(Weightings!G239&gt;0,Weightings!G239,'Preliminary SO66'!AB236)</f>
        <v>2583358</v>
      </c>
      <c r="BB239" s="2">
        <f t="shared" si="270"/>
        <v>2465531</v>
      </c>
      <c r="BC239" s="124"/>
      <c r="BD239" s="124">
        <f>Weightings!E239</f>
        <v>0</v>
      </c>
      <c r="BE239" s="124">
        <f>Weightings!F239</f>
        <v>0</v>
      </c>
      <c r="BF239" s="2">
        <f t="shared" si="271"/>
        <v>0</v>
      </c>
      <c r="BG239" s="2">
        <f t="shared" si="272"/>
        <v>2465531</v>
      </c>
      <c r="BH239" s="2">
        <f>MAX(ROUND(((AR239-AO239)*4433)+AP239,0),ROUND(((AR239-AO239)*4433)+Weightings!B239,0))</f>
        <v>2817592</v>
      </c>
      <c r="BI239" s="174">
        <v>0.3</v>
      </c>
      <c r="BJ239" s="2">
        <f t="shared" si="298"/>
        <v>845278</v>
      </c>
      <c r="BK239" s="173">
        <v>545000</v>
      </c>
      <c r="BL239" s="2">
        <f t="shared" si="246"/>
        <v>545000</v>
      </c>
      <c r="BM239" s="3">
        <f t="shared" si="284"/>
        <v>0.19339999999999999</v>
      </c>
      <c r="BN239" s="1">
        <f t="shared" si="273"/>
        <v>0</v>
      </c>
      <c r="BO239" s="4" t="b">
        <f t="shared" si="274"/>
        <v>0</v>
      </c>
      <c r="BP239" s="5">
        <f t="shared" si="275"/>
        <v>0</v>
      </c>
      <c r="BQ239" s="6">
        <f t="shared" si="247"/>
        <v>0</v>
      </c>
      <c r="BR239" s="4">
        <f t="shared" si="276"/>
        <v>0</v>
      </c>
      <c r="BS239" s="4" t="b">
        <f t="shared" si="277"/>
        <v>1</v>
      </c>
      <c r="BT239" s="4">
        <f t="shared" si="278"/>
        <v>17.9438</v>
      </c>
      <c r="BU239" s="6">
        <f t="shared" si="248"/>
        <v>0.47926000000000002</v>
      </c>
      <c r="BV239" s="1">
        <f t="shared" si="279"/>
        <v>150.69999999999999</v>
      </c>
      <c r="BW239" s="1">
        <f t="shared" si="280"/>
        <v>0</v>
      </c>
      <c r="BX239" s="116">
        <v>74</v>
      </c>
      <c r="BY239" s="7">
        <f t="shared" si="285"/>
        <v>0.84</v>
      </c>
      <c r="BZ239" s="7">
        <f>IF(ROUND((Weightings!$P$5*BY239^Weightings!$P$6*Weightings!$P$8 ),2)&lt;Weightings!$P$7,Weightings!$P$7,ROUND((Weightings!$P$5*BY239^Weightings!$P$6*Weightings!$P$8 ),2))</f>
        <v>1042.9100000000001</v>
      </c>
      <c r="CA239" s="8">
        <f>ROUND(BZ239/Weightings!$M$5,4)</f>
        <v>0.2717</v>
      </c>
      <c r="CB239" s="1">
        <f t="shared" si="286"/>
        <v>16.8</v>
      </c>
      <c r="CC239" s="173">
        <v>0</v>
      </c>
      <c r="CD239" s="173">
        <v>0</v>
      </c>
      <c r="CE239" s="173">
        <v>0</v>
      </c>
      <c r="CF239" s="177">
        <v>0</v>
      </c>
      <c r="CG239" s="2">
        <f>AS239*Weightings!$M$5*CF239</f>
        <v>0</v>
      </c>
      <c r="CH239" s="2">
        <f t="shared" si="250"/>
        <v>0</v>
      </c>
      <c r="CI239" s="117">
        <f t="shared" si="281"/>
        <v>0.39100000000000001</v>
      </c>
      <c r="CJ239" s="4">
        <f t="shared" si="282"/>
        <v>4.3</v>
      </c>
      <c r="CK239" s="1">
        <f t="shared" si="287"/>
        <v>0</v>
      </c>
      <c r="CL239" s="1">
        <f t="shared" si="288"/>
        <v>0</v>
      </c>
      <c r="CM239" s="1">
        <f t="shared" si="289"/>
        <v>3.5</v>
      </c>
      <c r="CN239" s="1">
        <f>IF(ISNA(VLOOKUP($CZ239,'Audit Values'!$A$2:$AE$439,2,FALSE)),'Preliminary SO66'!T236,VLOOKUP($CZ239,'Audit Values'!$A$2:$AE$439,20,FALSE))</f>
        <v>0</v>
      </c>
      <c r="CO239" s="1">
        <f t="shared" si="254"/>
        <v>0</v>
      </c>
      <c r="CP239" s="183">
        <v>0</v>
      </c>
      <c r="CQ239" s="1">
        <f t="shared" si="255"/>
        <v>0</v>
      </c>
      <c r="CR239" s="2">
        <f>IF(ISNA(VLOOKUP($CZ239,'Audit Values'!$A$2:$AE$439,2,FALSE)),'Preliminary SO66'!V236,VLOOKUP($CZ239,'Audit Values'!$A$2:$AE$439,22,FALSE))</f>
        <v>0</v>
      </c>
      <c r="CS239" s="1">
        <f t="shared" si="256"/>
        <v>0</v>
      </c>
      <c r="CT239" s="2">
        <f>IF(ISNA(VLOOKUP($CZ239,'Audit Values'!$A$2:$AE$439,2,FALSE)),'Preliminary SO66'!W236,VLOOKUP($CZ239,'Audit Values'!$A$2:$AE$439,23,FALSE))</f>
        <v>0</v>
      </c>
      <c r="CU239" s="1">
        <f t="shared" si="301"/>
        <v>0</v>
      </c>
      <c r="CV239" s="1">
        <f t="shared" si="302"/>
        <v>0</v>
      </c>
      <c r="CW239" s="176">
        <v>0</v>
      </c>
      <c r="CX239" s="2">
        <f>IF(CW239&gt;0,Weightings!$M$11*AR239,0)</f>
        <v>0</v>
      </c>
      <c r="CY239" s="2">
        <f t="shared" si="290"/>
        <v>0</v>
      </c>
      <c r="CZ239" s="108" t="s">
        <v>531</v>
      </c>
    </row>
    <row r="240" spans="1:104">
      <c r="A240" s="82">
        <v>456</v>
      </c>
      <c r="B240" s="4" t="s">
        <v>98</v>
      </c>
      <c r="C240" s="4" t="s">
        <v>866</v>
      </c>
      <c r="D240" s="1">
        <v>280.5</v>
      </c>
      <c r="E240" s="1">
        <v>0</v>
      </c>
      <c r="F240" s="1">
        <f t="shared" si="294"/>
        <v>280.5</v>
      </c>
      <c r="G240" s="1">
        <v>289.8</v>
      </c>
      <c r="H240" s="1">
        <v>0</v>
      </c>
      <c r="I240" s="1">
        <f t="shared" si="257"/>
        <v>289.8</v>
      </c>
      <c r="J240" s="1">
        <f t="shared" si="258"/>
        <v>278</v>
      </c>
      <c r="K240" s="1">
        <f>IF(ISNA(VLOOKUP($CZ240,'Audit Values'!$A$2:$AE$439,2,FALSE)),'Preliminary SO66'!B237,VLOOKUP($CZ240,'Audit Values'!$A$2:$AE$439,31,FALSE))</f>
        <v>278</v>
      </c>
      <c r="L240" s="1">
        <f t="shared" si="259"/>
        <v>289.8</v>
      </c>
      <c r="M240" s="1">
        <f>IF(ISNA(VLOOKUP($CZ240,'Audit Values'!$A$2:$AE$439,2,FALSE)),'Preliminary SO66'!Z237,VLOOKUP($CZ240,'Audit Values'!$A$2:$AE$439,26,FALSE))</f>
        <v>0</v>
      </c>
      <c r="N240" s="1">
        <f t="shared" si="260"/>
        <v>289.8</v>
      </c>
      <c r="O240" s="1">
        <f>IF(ISNA(VLOOKUP($CZ240,'Audit Values'!$A$2:$AE$439,2,FALSE)),'Preliminary SO66'!C237,IF(VLOOKUP($CZ240,'Audit Values'!$A$2:$AE$439,28,FALSE)="",VLOOKUP($CZ240,'Audit Values'!$A$2:$AE$439,3,FALSE),VLOOKUP($CZ240,'Audit Values'!$A$2:$AE$439,28,FALSE)))</f>
        <v>0</v>
      </c>
      <c r="P240" s="109">
        <f t="shared" si="261"/>
        <v>278</v>
      </c>
      <c r="Q240" s="110">
        <f t="shared" si="262"/>
        <v>278</v>
      </c>
      <c r="R240" s="111">
        <f t="shared" si="263"/>
        <v>278</v>
      </c>
      <c r="S240" s="1">
        <f t="shared" si="264"/>
        <v>289.8</v>
      </c>
      <c r="T240" s="1">
        <f t="shared" si="293"/>
        <v>0</v>
      </c>
      <c r="U240" s="1">
        <f t="shared" si="265"/>
        <v>148.19999999999999</v>
      </c>
      <c r="V240" s="1">
        <f t="shared" si="251"/>
        <v>148.19999999999999</v>
      </c>
      <c r="W240" s="1">
        <f t="shared" si="252"/>
        <v>0</v>
      </c>
      <c r="X240" s="1">
        <f>IF(ISNA(VLOOKUP($CZ240,'Audit Values'!$A$2:$AE$439,2,FALSE)),'Preliminary SO66'!D237,VLOOKUP($CZ240,'Audit Values'!$A$2:$AE$439,4,FALSE))</f>
        <v>100.5</v>
      </c>
      <c r="Y240" s="1">
        <f>ROUND((X240/6)*Weightings!$M$6,1)</f>
        <v>8.4</v>
      </c>
      <c r="Z240" s="1">
        <f>IF(ISNA(VLOOKUP($CZ240,'Audit Values'!$A$2:$AE$439,2,FALSE)),'Preliminary SO66'!F237,VLOOKUP($CZ240,'Audit Values'!$A$2:$AE$439,6,FALSE))</f>
        <v>0</v>
      </c>
      <c r="AA240" s="1">
        <f>ROUND((Z240/6)*Weightings!$M$7,1)</f>
        <v>0</v>
      </c>
      <c r="AB240" s="2">
        <f>IF(ISNA(VLOOKUP($CZ240,'Audit Values'!$A$2:$AE$439,2,FALSE)),'Preliminary SO66'!H237,VLOOKUP($CZ240,'Audit Values'!$A$2:$AE$439,8,FALSE))</f>
        <v>162</v>
      </c>
      <c r="AC240" s="1">
        <f>ROUND(AB240*Weightings!$M$8,1)</f>
        <v>73.900000000000006</v>
      </c>
      <c r="AD240" s="1">
        <f t="shared" si="249"/>
        <v>17</v>
      </c>
      <c r="AE240" s="185">
        <v>5</v>
      </c>
      <c r="AF240" s="1">
        <f>AE240*Weightings!$M$9</f>
        <v>0.2</v>
      </c>
      <c r="AG240" s="1">
        <f>IF(ISNA(VLOOKUP($CZ240,'Audit Values'!$A$2:$AE$439,2,FALSE)),'Preliminary SO66'!L237,VLOOKUP($CZ240,'Audit Values'!$A$2:$AE$439,12,FALSE))</f>
        <v>0</v>
      </c>
      <c r="AH240" s="1">
        <f>ROUND(AG240*Weightings!$M$10,1)</f>
        <v>0</v>
      </c>
      <c r="AI240" s="1">
        <f>IF(ISNA(VLOOKUP($CZ240,'Audit Values'!$A$2:$AE$439,2,FALSE)),'Preliminary SO66'!O237,VLOOKUP($CZ240,'Audit Values'!$A$2:$AE$439,15,FALSE))</f>
        <v>145</v>
      </c>
      <c r="AJ240" s="1">
        <f t="shared" si="266"/>
        <v>37.1</v>
      </c>
      <c r="AK240" s="1">
        <f>CC240/Weightings!$M$5</f>
        <v>0</v>
      </c>
      <c r="AL240" s="1">
        <f>CD240/Weightings!$M$5</f>
        <v>0</v>
      </c>
      <c r="AM240" s="1">
        <f>CH240/Weightings!$M$5</f>
        <v>0</v>
      </c>
      <c r="AN240" s="1">
        <f t="shared" si="253"/>
        <v>0</v>
      </c>
      <c r="AO240" s="1">
        <f>IF(ISNA(VLOOKUP($CZ240,'Audit Values'!$A$2:$AE$439,2,FALSE)),'Preliminary SO66'!X237,VLOOKUP($CZ240,'Audit Values'!$A$2:$AE$439,24,FALSE))</f>
        <v>0</v>
      </c>
      <c r="AP240" s="188">
        <v>321382</v>
      </c>
      <c r="AQ240" s="113">
        <f>AP240/Weightings!$M$5</f>
        <v>83.7</v>
      </c>
      <c r="AR240" s="113">
        <f t="shared" si="267"/>
        <v>574.6</v>
      </c>
      <c r="AS240" s="1">
        <f t="shared" si="268"/>
        <v>658.3</v>
      </c>
      <c r="AT240" s="1">
        <f t="shared" si="269"/>
        <v>658.3</v>
      </c>
      <c r="AU240" s="2">
        <f t="shared" si="283"/>
        <v>0</v>
      </c>
      <c r="AV240" s="82">
        <f>IF(ISNA(VLOOKUP($CZ240,'Audit Values'!$A$2:$AC$360,2,FALSE)),"",IF(AND(Weightings!H240&gt;0,VLOOKUP($CZ240,'Audit Values'!$A$2:$AC$360,29,FALSE)&lt;Weightings!H240),Weightings!H240,VLOOKUP($CZ240,'Audit Values'!$A$2:$AC$360,29,FALSE)))</f>
        <v>13</v>
      </c>
      <c r="AW240" s="82" t="str">
        <f>IF(ISNA(VLOOKUP($CZ240,'Audit Values'!$A$2:$AD$360,2,FALSE)),"",VLOOKUP($CZ240,'Audit Values'!$A$2:$AD$360,30,FALSE))</f>
        <v>A</v>
      </c>
      <c r="AX240" s="82" t="str">
        <f>IF(Weightings!G240="","",IF(Weightings!I240="Pending","PX","R"))</f>
        <v/>
      </c>
      <c r="AY240" s="114">
        <f>AR240*Weightings!$M$5+AU240</f>
        <v>2205315</v>
      </c>
      <c r="AZ240" s="2">
        <f>AT240*Weightings!$M$5+AU240</f>
        <v>2526555</v>
      </c>
      <c r="BA240" s="2">
        <f>IF(Weightings!G240&gt;0,Weightings!G240,'Preliminary SO66'!AB237)</f>
        <v>2734191</v>
      </c>
      <c r="BB240" s="2">
        <f t="shared" si="270"/>
        <v>2526555</v>
      </c>
      <c r="BC240" s="124"/>
      <c r="BD240" s="124">
        <f>Weightings!E240</f>
        <v>0</v>
      </c>
      <c r="BE240" s="124">
        <f>Weightings!F240</f>
        <v>0</v>
      </c>
      <c r="BF240" s="2">
        <f t="shared" si="271"/>
        <v>0</v>
      </c>
      <c r="BG240" s="2">
        <f t="shared" si="272"/>
        <v>2526555</v>
      </c>
      <c r="BH240" s="2">
        <f>MAX(ROUND(((AR240-AO240)*4433)+AP240,0),ROUND(((AR240-AO240)*4433)+Weightings!B240,0))</f>
        <v>2888650</v>
      </c>
      <c r="BI240" s="174">
        <v>0.3</v>
      </c>
      <c r="BJ240" s="2">
        <f t="shared" si="298"/>
        <v>866595</v>
      </c>
      <c r="BK240" s="173">
        <v>486000</v>
      </c>
      <c r="BL240" s="2">
        <f t="shared" si="246"/>
        <v>486000</v>
      </c>
      <c r="BM240" s="3">
        <f t="shared" si="284"/>
        <v>0.16819999999999999</v>
      </c>
      <c r="BN240" s="1">
        <f t="shared" si="273"/>
        <v>0</v>
      </c>
      <c r="BO240" s="4" t="b">
        <f t="shared" si="274"/>
        <v>1</v>
      </c>
      <c r="BP240" s="5">
        <f t="shared" si="275"/>
        <v>1832.519</v>
      </c>
      <c r="BQ240" s="6">
        <f t="shared" si="247"/>
        <v>0.51122400000000001</v>
      </c>
      <c r="BR240" s="4">
        <f t="shared" si="276"/>
        <v>148.19999999999999</v>
      </c>
      <c r="BS240" s="4" t="b">
        <f t="shared" si="277"/>
        <v>0</v>
      </c>
      <c r="BT240" s="4">
        <f t="shared" si="278"/>
        <v>0</v>
      </c>
      <c r="BU240" s="6">
        <f t="shared" si="248"/>
        <v>0</v>
      </c>
      <c r="BV240" s="1">
        <f t="shared" si="279"/>
        <v>0</v>
      </c>
      <c r="BW240" s="1">
        <f t="shared" si="280"/>
        <v>0</v>
      </c>
      <c r="BX240" s="116">
        <v>133</v>
      </c>
      <c r="BY240" s="7">
        <f t="shared" si="285"/>
        <v>1.0900000000000001</v>
      </c>
      <c r="BZ240" s="7">
        <f>IF(ROUND((Weightings!$P$5*BY240^Weightings!$P$6*Weightings!$P$8 ),2)&lt;Weightings!$P$7,Weightings!$P$7,ROUND((Weightings!$P$5*BY240^Weightings!$P$6*Weightings!$P$8 ),2))</f>
        <v>982.74</v>
      </c>
      <c r="CA240" s="8">
        <f>ROUND(BZ240/Weightings!$M$5,4)</f>
        <v>0.25609999999999999</v>
      </c>
      <c r="CB240" s="1">
        <f t="shared" si="286"/>
        <v>37.1</v>
      </c>
      <c r="CC240" s="173">
        <v>0</v>
      </c>
      <c r="CD240" s="173">
        <v>0</v>
      </c>
      <c r="CE240" s="173">
        <v>0</v>
      </c>
      <c r="CF240" s="177">
        <v>0</v>
      </c>
      <c r="CG240" s="2">
        <f>AS240*Weightings!$M$5*CF240</f>
        <v>0</v>
      </c>
      <c r="CH240" s="2">
        <f t="shared" si="250"/>
        <v>0</v>
      </c>
      <c r="CI240" s="117">
        <f t="shared" si="281"/>
        <v>0.55900000000000005</v>
      </c>
      <c r="CJ240" s="4">
        <f t="shared" si="282"/>
        <v>2.2000000000000002</v>
      </c>
      <c r="CK240" s="1">
        <f t="shared" si="287"/>
        <v>17</v>
      </c>
      <c r="CL240" s="1">
        <f t="shared" si="288"/>
        <v>0</v>
      </c>
      <c r="CM240" s="1">
        <f t="shared" si="289"/>
        <v>0</v>
      </c>
      <c r="CN240" s="1">
        <f>IF(ISNA(VLOOKUP($CZ240,'Audit Values'!$A$2:$AE$439,2,FALSE)),'Preliminary SO66'!T237,VLOOKUP($CZ240,'Audit Values'!$A$2:$AE$439,20,FALSE))</f>
        <v>0</v>
      </c>
      <c r="CO240" s="1">
        <f t="shared" si="254"/>
        <v>0</v>
      </c>
      <c r="CP240" s="183">
        <v>0</v>
      </c>
      <c r="CQ240" s="1">
        <f t="shared" si="255"/>
        <v>0</v>
      </c>
      <c r="CR240" s="2">
        <f>IF(ISNA(VLOOKUP($CZ240,'Audit Values'!$A$2:$AE$439,2,FALSE)),'Preliminary SO66'!V237,VLOOKUP($CZ240,'Audit Values'!$A$2:$AE$439,22,FALSE))</f>
        <v>0</v>
      </c>
      <c r="CS240" s="1">
        <f t="shared" si="256"/>
        <v>0</v>
      </c>
      <c r="CT240" s="2">
        <f>IF(ISNA(VLOOKUP($CZ240,'Audit Values'!$A$2:$AE$439,2,FALSE)),'Preliminary SO66'!W237,VLOOKUP($CZ240,'Audit Values'!$A$2:$AE$439,23,FALSE))</f>
        <v>0</v>
      </c>
      <c r="CU240" s="1">
        <f t="shared" si="301"/>
        <v>0</v>
      </c>
      <c r="CV240" s="1">
        <f t="shared" si="302"/>
        <v>0</v>
      </c>
      <c r="CW240" s="176">
        <v>0</v>
      </c>
      <c r="CX240" s="2">
        <f>IF(CW240&gt;0,Weightings!$M$11*AR240,0)</f>
        <v>0</v>
      </c>
      <c r="CY240" s="2">
        <f t="shared" si="290"/>
        <v>0</v>
      </c>
      <c r="CZ240" s="108" t="s">
        <v>532</v>
      </c>
    </row>
    <row r="241" spans="1:104">
      <c r="A241" s="82">
        <v>457</v>
      </c>
      <c r="B241" s="4" t="s">
        <v>71</v>
      </c>
      <c r="C241" s="4" t="s">
        <v>867</v>
      </c>
      <c r="D241" s="1">
        <v>6969.8</v>
      </c>
      <c r="E241" s="1">
        <v>0</v>
      </c>
      <c r="F241" s="1">
        <f t="shared" si="294"/>
        <v>6969.8</v>
      </c>
      <c r="G241" s="1">
        <v>7003.7</v>
      </c>
      <c r="H241" s="1">
        <v>0</v>
      </c>
      <c r="I241" s="1">
        <f t="shared" si="257"/>
        <v>7003.7</v>
      </c>
      <c r="J241" s="1">
        <f t="shared" si="258"/>
        <v>7000</v>
      </c>
      <c r="K241" s="1">
        <f>IF(ISNA(VLOOKUP($CZ241,'Audit Values'!$A$2:$AE$439,2,FALSE)),'Preliminary SO66'!B238,VLOOKUP($CZ241,'Audit Values'!$A$2:$AE$439,31,FALSE))</f>
        <v>6981.1</v>
      </c>
      <c r="L241" s="1">
        <f t="shared" si="259"/>
        <v>7003.7</v>
      </c>
      <c r="M241" s="1">
        <f>IF(ISNA(VLOOKUP($CZ241,'Audit Values'!$A$2:$AE$439,2,FALSE)),'Preliminary SO66'!Z238,VLOOKUP($CZ241,'Audit Values'!$A$2:$AE$439,26,FALSE))</f>
        <v>0</v>
      </c>
      <c r="N241" s="1">
        <f t="shared" si="260"/>
        <v>7003.7</v>
      </c>
      <c r="O241" s="1">
        <f>IF(ISNA(VLOOKUP($CZ241,'Audit Values'!$A$2:$AE$439,2,FALSE)),'Preliminary SO66'!C238,IF(VLOOKUP($CZ241,'Audit Values'!$A$2:$AE$439,28,FALSE)="",VLOOKUP($CZ241,'Audit Values'!$A$2:$AE$439,3,FALSE),VLOOKUP($CZ241,'Audit Values'!$A$2:$AE$439,28,FALSE)))</f>
        <v>97</v>
      </c>
      <c r="P241" s="109">
        <f t="shared" si="261"/>
        <v>7078.1</v>
      </c>
      <c r="Q241" s="110">
        <f t="shared" si="262"/>
        <v>7097</v>
      </c>
      <c r="R241" s="111">
        <f t="shared" si="263"/>
        <v>7097</v>
      </c>
      <c r="S241" s="1">
        <f t="shared" si="264"/>
        <v>7100.7</v>
      </c>
      <c r="T241" s="1">
        <f t="shared" si="293"/>
        <v>18.899999999999999</v>
      </c>
      <c r="U241" s="1">
        <f t="shared" si="265"/>
        <v>248.8</v>
      </c>
      <c r="V241" s="1">
        <f t="shared" si="251"/>
        <v>0</v>
      </c>
      <c r="W241" s="1">
        <f t="shared" si="252"/>
        <v>248.8</v>
      </c>
      <c r="X241" s="1">
        <f>IF(ISNA(VLOOKUP($CZ241,'Audit Values'!$A$2:$AE$439,2,FALSE)),'Preliminary SO66'!D238,VLOOKUP($CZ241,'Audit Values'!$A$2:$AE$439,4,FALSE))</f>
        <v>1630.6</v>
      </c>
      <c r="Y241" s="1">
        <f>ROUND((X241/6)*Weightings!$M$6,1)</f>
        <v>135.9</v>
      </c>
      <c r="Z241" s="1">
        <f>IF(ISNA(VLOOKUP($CZ241,'Audit Values'!$A$2:$AE$439,2,FALSE)),'Preliminary SO66'!F238,VLOOKUP($CZ241,'Audit Values'!$A$2:$AE$439,6,FALSE))</f>
        <v>9155.9</v>
      </c>
      <c r="AA241" s="1">
        <f>ROUND((Z241/6)*Weightings!$M$7,1)</f>
        <v>602.79999999999995</v>
      </c>
      <c r="AB241" s="2">
        <f>IF(ISNA(VLOOKUP($CZ241,'Audit Values'!$A$2:$AE$439,2,FALSE)),'Preliminary SO66'!H238,VLOOKUP($CZ241,'Audit Values'!$A$2:$AE$439,8,FALSE))</f>
        <v>4316</v>
      </c>
      <c r="AC241" s="1">
        <f>ROUND(AB241*Weightings!$M$8,1)</f>
        <v>1968.1</v>
      </c>
      <c r="AD241" s="1">
        <f t="shared" si="249"/>
        <v>453.2</v>
      </c>
      <c r="AE241" s="185">
        <v>431</v>
      </c>
      <c r="AF241" s="1">
        <f>AE241*Weightings!$M$9</f>
        <v>20</v>
      </c>
      <c r="AG241" s="1">
        <f>IF(ISNA(VLOOKUP($CZ241,'Audit Values'!$A$2:$AE$439,2,FALSE)),'Preliminary SO66'!L238,VLOOKUP($CZ241,'Audit Values'!$A$2:$AE$439,12,FALSE))</f>
        <v>1995.2</v>
      </c>
      <c r="AH241" s="1">
        <f>ROUND(AG241*Weightings!$M$10,1)</f>
        <v>498.8</v>
      </c>
      <c r="AI241" s="1">
        <f>IF(ISNA(VLOOKUP($CZ241,'Audit Values'!$A$2:$AE$439,2,FALSE)),'Preliminary SO66'!O238,VLOOKUP($CZ241,'Audit Values'!$A$2:$AE$439,15,FALSE))</f>
        <v>2310</v>
      </c>
      <c r="AJ241" s="1">
        <f t="shared" si="266"/>
        <v>490</v>
      </c>
      <c r="AK241" s="1">
        <f>CC241/Weightings!$M$5</f>
        <v>0</v>
      </c>
      <c r="AL241" s="1">
        <f>CD241/Weightings!$M$5</f>
        <v>0</v>
      </c>
      <c r="AM241" s="1">
        <f>CH241/Weightings!$M$5</f>
        <v>0</v>
      </c>
      <c r="AN241" s="1">
        <f t="shared" si="253"/>
        <v>19.8</v>
      </c>
      <c r="AO241" s="1">
        <f>IF(ISNA(VLOOKUP($CZ241,'Audit Values'!$A$2:$AE$439,2,FALSE)),'Preliminary SO66'!X238,VLOOKUP($CZ241,'Audit Values'!$A$2:$AE$439,24,FALSE))</f>
        <v>0</v>
      </c>
      <c r="AP241" s="188">
        <v>5365067</v>
      </c>
      <c r="AQ241" s="113">
        <f>AP241/Weightings!$M$5</f>
        <v>1397.9</v>
      </c>
      <c r="AR241" s="113">
        <f t="shared" si="267"/>
        <v>11538.1</v>
      </c>
      <c r="AS241" s="1">
        <f t="shared" si="268"/>
        <v>12936</v>
      </c>
      <c r="AT241" s="1">
        <f t="shared" si="269"/>
        <v>12936</v>
      </c>
      <c r="AU241" s="2">
        <f t="shared" si="283"/>
        <v>0</v>
      </c>
      <c r="AV241" s="82">
        <f>IF(ISNA(VLOOKUP($CZ241,'Audit Values'!$A$2:$AC$360,2,FALSE)),"",IF(AND(Weightings!H241&gt;0,VLOOKUP($CZ241,'Audit Values'!$A$2:$AC$360,29,FALSE)&lt;Weightings!H241),Weightings!H241,VLOOKUP($CZ241,'Audit Values'!$A$2:$AC$360,29,FALSE)))</f>
        <v>24</v>
      </c>
      <c r="AW241" s="82" t="str">
        <f>IF(ISNA(VLOOKUP($CZ241,'Audit Values'!$A$2:$AD$360,2,FALSE)),"",VLOOKUP($CZ241,'Audit Values'!$A$2:$AD$360,30,FALSE))</f>
        <v>A</v>
      </c>
      <c r="AX241" s="82" t="str">
        <f>IF(Weightings!G241="","",IF(Weightings!I241="Pending","PX","R"))</f>
        <v/>
      </c>
      <c r="AY241" s="114">
        <f>AR241*Weightings!$M$5+AU241</f>
        <v>44283228</v>
      </c>
      <c r="AZ241" s="2">
        <f>AT241*Weightings!$M$5+AU241</f>
        <v>49648368</v>
      </c>
      <c r="BA241" s="2">
        <f>IF(Weightings!G241&gt;0,Weightings!G241,'Preliminary SO66'!AB238)</f>
        <v>50398697</v>
      </c>
      <c r="BB241" s="2">
        <f t="shared" si="270"/>
        <v>49648368</v>
      </c>
      <c r="BC241" s="124"/>
      <c r="BD241" s="124">
        <f>Weightings!E241</f>
        <v>0</v>
      </c>
      <c r="BE241" s="124">
        <f>Weightings!F241</f>
        <v>0</v>
      </c>
      <c r="BF241" s="2">
        <f t="shared" si="271"/>
        <v>0</v>
      </c>
      <c r="BG241" s="2">
        <f t="shared" si="272"/>
        <v>49648368</v>
      </c>
      <c r="BH241" s="2">
        <f>MAX(ROUND(((AR241-AO241)*4433)+AP241,0),ROUND(((AR241-AO241)*4433)+Weightings!B241,0))</f>
        <v>56513464</v>
      </c>
      <c r="BI241" s="174">
        <v>0.3</v>
      </c>
      <c r="BJ241" s="2">
        <f t="shared" si="298"/>
        <v>16954039</v>
      </c>
      <c r="BK241" s="173">
        <v>12600000</v>
      </c>
      <c r="BL241" s="2">
        <f t="shared" si="246"/>
        <v>12600000</v>
      </c>
      <c r="BM241" s="3">
        <f t="shared" si="284"/>
        <v>0.223</v>
      </c>
      <c r="BN241" s="1">
        <f t="shared" si="273"/>
        <v>0</v>
      </c>
      <c r="BO241" s="4" t="b">
        <f t="shared" si="274"/>
        <v>0</v>
      </c>
      <c r="BP241" s="5">
        <f t="shared" si="275"/>
        <v>0</v>
      </c>
      <c r="BQ241" s="6">
        <f t="shared" si="247"/>
        <v>0</v>
      </c>
      <c r="BR241" s="4">
        <f t="shared" si="276"/>
        <v>0</v>
      </c>
      <c r="BS241" s="4" t="b">
        <f t="shared" si="277"/>
        <v>0</v>
      </c>
      <c r="BT241" s="4">
        <f t="shared" si="278"/>
        <v>0</v>
      </c>
      <c r="BU241" s="6">
        <f t="shared" si="248"/>
        <v>0</v>
      </c>
      <c r="BV241" s="1">
        <f t="shared" si="279"/>
        <v>0</v>
      </c>
      <c r="BW241" s="1">
        <f t="shared" si="280"/>
        <v>248.8</v>
      </c>
      <c r="BX241" s="116">
        <v>928</v>
      </c>
      <c r="BY241" s="7">
        <f t="shared" si="285"/>
        <v>2.4900000000000002</v>
      </c>
      <c r="BZ241" s="7">
        <f>IF(ROUND((Weightings!$P$5*BY241^Weightings!$P$6*Weightings!$P$8 ),2)&lt;Weightings!$P$7,Weightings!$P$7,ROUND((Weightings!$P$5*BY241^Weightings!$P$6*Weightings!$P$8 ),2))</f>
        <v>813.96</v>
      </c>
      <c r="CA241" s="8">
        <f>ROUND(BZ241/Weightings!$M$5,4)</f>
        <v>0.21210000000000001</v>
      </c>
      <c r="CB241" s="1">
        <f t="shared" si="286"/>
        <v>490</v>
      </c>
      <c r="CC241" s="173">
        <v>0</v>
      </c>
      <c r="CD241" s="173">
        <v>0</v>
      </c>
      <c r="CE241" s="173">
        <v>0</v>
      </c>
      <c r="CF241" s="177">
        <v>0</v>
      </c>
      <c r="CG241" s="2">
        <f>AS241*Weightings!$M$5*CF241</f>
        <v>0</v>
      </c>
      <c r="CH241" s="2">
        <f t="shared" si="250"/>
        <v>0</v>
      </c>
      <c r="CI241" s="117">
        <f t="shared" si="281"/>
        <v>0.60799999999999998</v>
      </c>
      <c r="CJ241" s="4">
        <f t="shared" si="282"/>
        <v>7.7</v>
      </c>
      <c r="CK241" s="1">
        <f t="shared" si="287"/>
        <v>453.2</v>
      </c>
      <c r="CL241" s="1">
        <f t="shared" si="288"/>
        <v>0</v>
      </c>
      <c r="CM241" s="1">
        <f t="shared" si="289"/>
        <v>0</v>
      </c>
      <c r="CN241" s="1">
        <f>IF(ISNA(VLOOKUP($CZ241,'Audit Values'!$A$2:$AE$439,2,FALSE)),'Preliminary SO66'!T238,VLOOKUP($CZ241,'Audit Values'!$A$2:$AE$439,20,FALSE))</f>
        <v>18.899999999999999</v>
      </c>
      <c r="CO241" s="1">
        <f t="shared" si="254"/>
        <v>19.8</v>
      </c>
      <c r="CP241" s="183">
        <v>0</v>
      </c>
      <c r="CQ241" s="1">
        <f t="shared" si="255"/>
        <v>0</v>
      </c>
      <c r="CR241" s="2">
        <f>IF(ISNA(VLOOKUP($CZ241,'Audit Values'!$A$2:$AE$439,2,FALSE)),'Preliminary SO66'!V238,VLOOKUP($CZ241,'Audit Values'!$A$2:$AE$439,22,FALSE))</f>
        <v>0</v>
      </c>
      <c r="CS241" s="1">
        <f t="shared" si="256"/>
        <v>0</v>
      </c>
      <c r="CT241" s="2">
        <f>IF(ISNA(VLOOKUP($CZ241,'Audit Values'!$A$2:$AE$439,2,FALSE)),'Preliminary SO66'!W238,VLOOKUP($CZ241,'Audit Values'!$A$2:$AE$439,23,FALSE))</f>
        <v>0</v>
      </c>
      <c r="CU241" s="1">
        <f t="shared" si="301"/>
        <v>0</v>
      </c>
      <c r="CV241" s="1">
        <f t="shared" si="302"/>
        <v>19.8</v>
      </c>
      <c r="CW241" s="176">
        <v>0</v>
      </c>
      <c r="CX241" s="2">
        <f>IF(CW241&gt;0,Weightings!$M$11*AR241,0)</f>
        <v>0</v>
      </c>
      <c r="CY241" s="2">
        <f t="shared" si="290"/>
        <v>0</v>
      </c>
      <c r="CZ241" s="108" t="s">
        <v>533</v>
      </c>
    </row>
    <row r="242" spans="1:104">
      <c r="A242" s="82">
        <v>458</v>
      </c>
      <c r="B242" s="4" t="s">
        <v>13</v>
      </c>
      <c r="C242" s="4" t="s">
        <v>868</v>
      </c>
      <c r="D242" s="1">
        <v>1924</v>
      </c>
      <c r="E242" s="1">
        <v>0</v>
      </c>
      <c r="F242" s="1">
        <f t="shared" si="294"/>
        <v>1924</v>
      </c>
      <c r="G242" s="1">
        <v>1948.8</v>
      </c>
      <c r="H242" s="1">
        <v>0</v>
      </c>
      <c r="I242" s="1">
        <f t="shared" si="257"/>
        <v>1948.8</v>
      </c>
      <c r="J242" s="1">
        <f t="shared" si="258"/>
        <v>2263.1999999999998</v>
      </c>
      <c r="K242" s="1">
        <f>IF(ISNA(VLOOKUP($CZ242,'Audit Values'!$A$2:$AE$439,2,FALSE)),'Preliminary SO66'!B239,VLOOKUP($CZ242,'Audit Values'!$A$2:$AE$439,31,FALSE))</f>
        <v>2030.2</v>
      </c>
      <c r="L242" s="1">
        <f t="shared" si="259"/>
        <v>2030.2</v>
      </c>
      <c r="M242" s="1">
        <f>IF(ISNA(VLOOKUP($CZ242,'Audit Values'!$A$2:$AE$439,2,FALSE)),'Preliminary SO66'!Z239,VLOOKUP($CZ242,'Audit Values'!$A$2:$AE$439,26,FALSE))</f>
        <v>0</v>
      </c>
      <c r="N242" s="1">
        <f t="shared" si="260"/>
        <v>2030.2</v>
      </c>
      <c r="O242" s="1">
        <f>IF(ISNA(VLOOKUP($CZ242,'Audit Values'!$A$2:$AE$439,2,FALSE)),'Preliminary SO66'!C239,IF(VLOOKUP($CZ242,'Audit Values'!$A$2:$AE$439,28,FALSE)="",VLOOKUP($CZ242,'Audit Values'!$A$2:$AE$439,3,FALSE),VLOOKUP($CZ242,'Audit Values'!$A$2:$AE$439,28,FALSE)))</f>
        <v>0</v>
      </c>
      <c r="P242" s="109">
        <f t="shared" si="261"/>
        <v>2030.2</v>
      </c>
      <c r="Q242" s="110">
        <f t="shared" si="262"/>
        <v>2263.1999999999998</v>
      </c>
      <c r="R242" s="111">
        <f t="shared" si="263"/>
        <v>2263.1999999999998</v>
      </c>
      <c r="S242" s="1">
        <f t="shared" si="264"/>
        <v>2030.2</v>
      </c>
      <c r="T242" s="1">
        <f t="shared" si="293"/>
        <v>233</v>
      </c>
      <c r="U242" s="1">
        <f t="shared" si="265"/>
        <v>71.099999999999994</v>
      </c>
      <c r="V242" s="1">
        <f t="shared" si="251"/>
        <v>0</v>
      </c>
      <c r="W242" s="1">
        <f t="shared" si="252"/>
        <v>71.099999999999994</v>
      </c>
      <c r="X242" s="1">
        <f>IF(ISNA(VLOOKUP($CZ242,'Audit Values'!$A$2:$AE$439,2,FALSE)),'Preliminary SO66'!D239,VLOOKUP($CZ242,'Audit Values'!$A$2:$AE$439,4,FALSE))</f>
        <v>357.9</v>
      </c>
      <c r="Y242" s="1">
        <f>ROUND((X242/6)*Weightings!$M$6,1)</f>
        <v>29.8</v>
      </c>
      <c r="Z242" s="1">
        <f>IF(ISNA(VLOOKUP($CZ242,'Audit Values'!$A$2:$AE$439,2,FALSE)),'Preliminary SO66'!F239,VLOOKUP($CZ242,'Audit Values'!$A$2:$AE$439,6,FALSE))</f>
        <v>23.6</v>
      </c>
      <c r="AA242" s="1">
        <f>ROUND((Z242/6)*Weightings!$M$7,1)</f>
        <v>1.6</v>
      </c>
      <c r="AB242" s="2">
        <f>IF(ISNA(VLOOKUP($CZ242,'Audit Values'!$A$2:$AE$439,2,FALSE)),'Preliminary SO66'!H239,VLOOKUP($CZ242,'Audit Values'!$A$2:$AE$439,8,FALSE))</f>
        <v>334</v>
      </c>
      <c r="AC242" s="1">
        <f>ROUND(AB242*Weightings!$M$8,1)</f>
        <v>152.30000000000001</v>
      </c>
      <c r="AD242" s="1">
        <f t="shared" si="249"/>
        <v>0</v>
      </c>
      <c r="AE242" s="185">
        <v>124</v>
      </c>
      <c r="AF242" s="1">
        <f>AE242*Weightings!$M$9</f>
        <v>5.8</v>
      </c>
      <c r="AG242" s="1">
        <f>IF(ISNA(VLOOKUP($CZ242,'Audit Values'!$A$2:$AE$439,2,FALSE)),'Preliminary SO66'!L239,VLOOKUP($CZ242,'Audit Values'!$A$2:$AE$439,12,FALSE))</f>
        <v>0</v>
      </c>
      <c r="AH242" s="1">
        <f>ROUND(AG242*Weightings!$M$10,1)</f>
        <v>0</v>
      </c>
      <c r="AI242" s="1">
        <f>IF(ISNA(VLOOKUP($CZ242,'Audit Values'!$A$2:$AE$439,2,FALSE)),'Preliminary SO66'!O239,VLOOKUP($CZ242,'Audit Values'!$A$2:$AE$439,15,FALSE))</f>
        <v>1102</v>
      </c>
      <c r="AJ242" s="1">
        <f t="shared" si="266"/>
        <v>167.9</v>
      </c>
      <c r="AK242" s="1">
        <f>CC242/Weightings!$M$5</f>
        <v>0</v>
      </c>
      <c r="AL242" s="1">
        <f>CD242/Weightings!$M$5</f>
        <v>0</v>
      </c>
      <c r="AM242" s="1">
        <f>CH242/Weightings!$M$5</f>
        <v>0</v>
      </c>
      <c r="AN242" s="1">
        <f t="shared" si="253"/>
        <v>244.7</v>
      </c>
      <c r="AO242" s="1">
        <f>IF(ISNA(VLOOKUP($CZ242,'Audit Values'!$A$2:$AE$439,2,FALSE)),'Preliminary SO66'!X239,VLOOKUP($CZ242,'Audit Values'!$A$2:$AE$439,24,FALSE))</f>
        <v>0</v>
      </c>
      <c r="AP242" s="188">
        <v>1710348</v>
      </c>
      <c r="AQ242" s="113">
        <f>AP242/Weightings!$M$5</f>
        <v>445.6</v>
      </c>
      <c r="AR242" s="113">
        <f t="shared" si="267"/>
        <v>2703.4</v>
      </c>
      <c r="AS242" s="1">
        <f t="shared" si="268"/>
        <v>3149</v>
      </c>
      <c r="AT242" s="1">
        <f t="shared" si="269"/>
        <v>3149</v>
      </c>
      <c r="AU242" s="2">
        <f t="shared" si="283"/>
        <v>0</v>
      </c>
      <c r="AV242" s="82">
        <f>IF(ISNA(VLOOKUP($CZ242,'Audit Values'!$A$2:$AC$360,2,FALSE)),"",IF(AND(Weightings!H242&gt;0,VLOOKUP($CZ242,'Audit Values'!$A$2:$AC$360,29,FALSE)&lt;Weightings!H242),Weightings!H242,VLOOKUP($CZ242,'Audit Values'!$A$2:$AC$360,29,FALSE)))</f>
        <v>23</v>
      </c>
      <c r="AW242" s="82" t="str">
        <f>IF(ISNA(VLOOKUP($CZ242,'Audit Values'!$A$2:$AD$360,2,FALSE)),"",VLOOKUP($CZ242,'Audit Values'!$A$2:$AD$360,30,FALSE))</f>
        <v>A</v>
      </c>
      <c r="AX242" s="82" t="str">
        <f>IF(Weightings!G242="","",IF(Weightings!I242="Pending","PX","R"))</f>
        <v>R</v>
      </c>
      <c r="AY242" s="114">
        <f>AR242*Weightings!$M$5+AU242</f>
        <v>10375649</v>
      </c>
      <c r="AZ242" s="2">
        <f>AT242*Weightings!$M$5+AU242</f>
        <v>12085862</v>
      </c>
      <c r="BA242" s="2">
        <f>IF(Weightings!G242&gt;0,Weightings!G242,'Preliminary SO66'!AB239)</f>
        <v>12274691</v>
      </c>
      <c r="BB242" s="2">
        <f t="shared" si="270"/>
        <v>12085862</v>
      </c>
      <c r="BC242" s="124"/>
      <c r="BD242" s="124">
        <f>Weightings!E242</f>
        <v>-8623</v>
      </c>
      <c r="BE242" s="124">
        <f>Weightings!F242</f>
        <v>0</v>
      </c>
      <c r="BF242" s="2">
        <f t="shared" si="271"/>
        <v>-8623</v>
      </c>
      <c r="BG242" s="2">
        <f t="shared" si="272"/>
        <v>12077239</v>
      </c>
      <c r="BH242" s="2">
        <f>MAX(ROUND(((AR242-AO242)*4433)+AP242,0),ROUND(((AR242-AO242)*4433)+Weightings!B242,0))</f>
        <v>13694520</v>
      </c>
      <c r="BI242" s="174">
        <v>0.3</v>
      </c>
      <c r="BJ242" s="2">
        <f t="shared" si="298"/>
        <v>4108356</v>
      </c>
      <c r="BK242" s="173">
        <v>3981319</v>
      </c>
      <c r="BL242" s="2">
        <f t="shared" si="246"/>
        <v>3981319</v>
      </c>
      <c r="BM242" s="3">
        <f t="shared" si="284"/>
        <v>0.29070000000000001</v>
      </c>
      <c r="BN242" s="1">
        <f t="shared" si="273"/>
        <v>0</v>
      </c>
      <c r="BO242" s="4" t="b">
        <f t="shared" si="274"/>
        <v>0</v>
      </c>
      <c r="BP242" s="5">
        <f t="shared" si="275"/>
        <v>0</v>
      </c>
      <c r="BQ242" s="6">
        <f t="shared" si="247"/>
        <v>0</v>
      </c>
      <c r="BR242" s="4">
        <f t="shared" si="276"/>
        <v>0</v>
      </c>
      <c r="BS242" s="4" t="b">
        <f t="shared" si="277"/>
        <v>0</v>
      </c>
      <c r="BT242" s="4">
        <f t="shared" si="278"/>
        <v>0</v>
      </c>
      <c r="BU242" s="6">
        <f t="shared" si="248"/>
        <v>0</v>
      </c>
      <c r="BV242" s="1">
        <f t="shared" si="279"/>
        <v>0</v>
      </c>
      <c r="BW242" s="1">
        <f t="shared" si="280"/>
        <v>71.099999999999994</v>
      </c>
      <c r="BX242" s="116">
        <v>89.6</v>
      </c>
      <c r="BY242" s="7">
        <f t="shared" si="285"/>
        <v>12.3</v>
      </c>
      <c r="BZ242" s="7">
        <f>IF(ROUND((Weightings!$P$5*BY242^Weightings!$P$6*Weightings!$P$8 ),2)&lt;Weightings!$P$7,Weightings!$P$7,ROUND((Weightings!$P$5*BY242^Weightings!$P$6*Weightings!$P$8 ),2))</f>
        <v>585</v>
      </c>
      <c r="CA242" s="8">
        <f>ROUND(BZ242/Weightings!$M$5,4)</f>
        <v>0.15240000000000001</v>
      </c>
      <c r="CB242" s="1">
        <f t="shared" si="286"/>
        <v>167.9</v>
      </c>
      <c r="CC242" s="173">
        <v>0</v>
      </c>
      <c r="CD242" s="173">
        <v>0</v>
      </c>
      <c r="CE242" s="173">
        <v>0</v>
      </c>
      <c r="CF242" s="177">
        <v>2.87E-2</v>
      </c>
      <c r="CG242" s="2">
        <f>AS242*Weightings!$M$5*CF242</f>
        <v>346864</v>
      </c>
      <c r="CH242" s="2">
        <f t="shared" si="250"/>
        <v>0</v>
      </c>
      <c r="CI242" s="117">
        <f t="shared" si="281"/>
        <v>0.16500000000000001</v>
      </c>
      <c r="CJ242" s="4">
        <f t="shared" si="282"/>
        <v>22.7</v>
      </c>
      <c r="CK242" s="1">
        <f t="shared" si="287"/>
        <v>0</v>
      </c>
      <c r="CL242" s="1">
        <f t="shared" si="288"/>
        <v>0</v>
      </c>
      <c r="CM242" s="1">
        <f t="shared" si="289"/>
        <v>0</v>
      </c>
      <c r="CN242" s="1">
        <f>IF(ISNA(VLOOKUP($CZ242,'Audit Values'!$A$2:$AE$439,2,FALSE)),'Preliminary SO66'!T239,VLOOKUP($CZ242,'Audit Values'!$A$2:$AE$439,20,FALSE))</f>
        <v>233</v>
      </c>
      <c r="CO242" s="1">
        <f t="shared" si="254"/>
        <v>244.7</v>
      </c>
      <c r="CP242" s="183">
        <v>0</v>
      </c>
      <c r="CQ242" s="1">
        <f t="shared" si="255"/>
        <v>0</v>
      </c>
      <c r="CR242" s="2">
        <f>IF(ISNA(VLOOKUP($CZ242,'Audit Values'!$A$2:$AE$439,2,FALSE)),'Preliminary SO66'!V239,VLOOKUP($CZ242,'Audit Values'!$A$2:$AE$439,22,FALSE))</f>
        <v>0</v>
      </c>
      <c r="CS242" s="1">
        <f t="shared" si="256"/>
        <v>0</v>
      </c>
      <c r="CT242" s="2">
        <f>IF(ISNA(VLOOKUP($CZ242,'Audit Values'!$A$2:$AE$439,2,FALSE)),'Preliminary SO66'!W239,VLOOKUP($CZ242,'Audit Values'!$A$2:$AE$439,23,FALSE))</f>
        <v>0</v>
      </c>
      <c r="CU242" s="1">
        <f t="shared" si="301"/>
        <v>0</v>
      </c>
      <c r="CV242" s="1">
        <f t="shared" si="302"/>
        <v>244.7</v>
      </c>
      <c r="CW242" s="176">
        <v>0</v>
      </c>
      <c r="CX242" s="2">
        <f>IF(CW242&gt;0,Weightings!$M$11*AR242,0)</f>
        <v>0</v>
      </c>
      <c r="CY242" s="2">
        <f t="shared" si="290"/>
        <v>0</v>
      </c>
      <c r="CZ242" s="108" t="s">
        <v>534</v>
      </c>
    </row>
    <row r="243" spans="1:104">
      <c r="A243" s="82">
        <v>459</v>
      </c>
      <c r="B243" s="4" t="s">
        <v>82</v>
      </c>
      <c r="C243" s="4" t="s">
        <v>869</v>
      </c>
      <c r="D243" s="1">
        <v>243.3</v>
      </c>
      <c r="E243" s="1">
        <v>0</v>
      </c>
      <c r="F243" s="1">
        <f t="shared" si="294"/>
        <v>243.3</v>
      </c>
      <c r="G243" s="1">
        <v>241.9</v>
      </c>
      <c r="H243" s="1">
        <v>0</v>
      </c>
      <c r="I243" s="1">
        <f t="shared" si="257"/>
        <v>241.9</v>
      </c>
      <c r="J243" s="1">
        <f t="shared" si="258"/>
        <v>225.7</v>
      </c>
      <c r="K243" s="1">
        <f>IF(ISNA(VLOOKUP($CZ243,'Audit Values'!$A$2:$AE$439,2,FALSE)),'Preliminary SO66'!B240,VLOOKUP($CZ243,'Audit Values'!$A$2:$AE$439,31,FALSE))</f>
        <v>225.7</v>
      </c>
      <c r="L243" s="1">
        <f t="shared" si="259"/>
        <v>241.9</v>
      </c>
      <c r="M243" s="1">
        <f>IF(ISNA(VLOOKUP($CZ243,'Audit Values'!$A$2:$AE$439,2,FALSE)),'Preliminary SO66'!Z240,VLOOKUP($CZ243,'Audit Values'!$A$2:$AE$439,26,FALSE))</f>
        <v>0</v>
      </c>
      <c r="N243" s="1">
        <f t="shared" si="260"/>
        <v>241.9</v>
      </c>
      <c r="O243" s="1">
        <f>IF(ISNA(VLOOKUP($CZ243,'Audit Values'!$A$2:$AE$439,2,FALSE)),'Preliminary SO66'!C240,IF(VLOOKUP($CZ243,'Audit Values'!$A$2:$AE$439,28,FALSE)="",VLOOKUP($CZ243,'Audit Values'!$A$2:$AE$439,3,FALSE),VLOOKUP($CZ243,'Audit Values'!$A$2:$AE$439,28,FALSE)))</f>
        <v>3</v>
      </c>
      <c r="P243" s="109">
        <f t="shared" si="261"/>
        <v>228.7</v>
      </c>
      <c r="Q243" s="110">
        <f t="shared" si="262"/>
        <v>228.7</v>
      </c>
      <c r="R243" s="111">
        <f t="shared" si="263"/>
        <v>228.7</v>
      </c>
      <c r="S243" s="1">
        <f t="shared" si="264"/>
        <v>244.9</v>
      </c>
      <c r="T243" s="1">
        <f t="shared" si="293"/>
        <v>0</v>
      </c>
      <c r="U243" s="1">
        <f t="shared" si="265"/>
        <v>154.30000000000001</v>
      </c>
      <c r="V243" s="1">
        <f t="shared" si="251"/>
        <v>154.30000000000001</v>
      </c>
      <c r="W243" s="1">
        <f t="shared" si="252"/>
        <v>0</v>
      </c>
      <c r="X243" s="1">
        <f>IF(ISNA(VLOOKUP($CZ243,'Audit Values'!$A$2:$AE$439,2,FALSE)),'Preliminary SO66'!D240,VLOOKUP($CZ243,'Audit Values'!$A$2:$AE$439,4,FALSE))</f>
        <v>46.2</v>
      </c>
      <c r="Y243" s="1">
        <f>ROUND((X243/6)*Weightings!$M$6,1)</f>
        <v>3.9</v>
      </c>
      <c r="Z243" s="1">
        <f>IF(ISNA(VLOOKUP($CZ243,'Audit Values'!$A$2:$AE$439,2,FALSE)),'Preliminary SO66'!F240,VLOOKUP($CZ243,'Audit Values'!$A$2:$AE$439,6,FALSE))</f>
        <v>3.3</v>
      </c>
      <c r="AA243" s="1">
        <f>ROUND((Z243/6)*Weightings!$M$7,1)</f>
        <v>0.2</v>
      </c>
      <c r="AB243" s="2">
        <f>IF(ISNA(VLOOKUP($CZ243,'Audit Values'!$A$2:$AE$439,2,FALSE)),'Preliminary SO66'!H240,VLOOKUP($CZ243,'Audit Values'!$A$2:$AE$439,8,FALSE))</f>
        <v>116</v>
      </c>
      <c r="AC243" s="1">
        <f>ROUND(AB243*Weightings!$M$8,1)</f>
        <v>52.9</v>
      </c>
      <c r="AD243" s="1">
        <f t="shared" si="249"/>
        <v>10.1</v>
      </c>
      <c r="AE243" s="185">
        <v>26</v>
      </c>
      <c r="AF243" s="1">
        <f>AE243*Weightings!$M$9</f>
        <v>1.2</v>
      </c>
      <c r="AG243" s="1">
        <f>IF(ISNA(VLOOKUP($CZ243,'Audit Values'!$A$2:$AE$439,2,FALSE)),'Preliminary SO66'!L240,VLOOKUP($CZ243,'Audit Values'!$A$2:$AE$439,12,FALSE))</f>
        <v>0</v>
      </c>
      <c r="AH243" s="1">
        <f>ROUND(AG243*Weightings!$M$10,1)</f>
        <v>0</v>
      </c>
      <c r="AI243" s="1">
        <f>IF(ISNA(VLOOKUP($CZ243,'Audit Values'!$A$2:$AE$439,2,FALSE)),'Preliminary SO66'!O240,VLOOKUP($CZ243,'Audit Values'!$A$2:$AE$439,15,FALSE))</f>
        <v>73</v>
      </c>
      <c r="AJ243" s="1">
        <f t="shared" si="266"/>
        <v>27.5</v>
      </c>
      <c r="AK243" s="1">
        <f>CC243/Weightings!$M$5</f>
        <v>0</v>
      </c>
      <c r="AL243" s="1">
        <f>CD243/Weightings!$M$5</f>
        <v>0</v>
      </c>
      <c r="AM243" s="1">
        <f>CH243/Weightings!$M$5</f>
        <v>0</v>
      </c>
      <c r="AN243" s="1">
        <f t="shared" si="253"/>
        <v>0</v>
      </c>
      <c r="AO243" s="1">
        <f>IF(ISNA(VLOOKUP($CZ243,'Audit Values'!$A$2:$AE$439,2,FALSE)),'Preliminary SO66'!X240,VLOOKUP($CZ243,'Audit Values'!$A$2:$AE$439,24,FALSE))</f>
        <v>0</v>
      </c>
      <c r="AP243" s="188">
        <v>176404</v>
      </c>
      <c r="AQ243" s="113">
        <f>AP243/Weightings!$M$5</f>
        <v>46</v>
      </c>
      <c r="AR243" s="113">
        <f t="shared" si="267"/>
        <v>495</v>
      </c>
      <c r="AS243" s="1">
        <f t="shared" si="268"/>
        <v>541</v>
      </c>
      <c r="AT243" s="1">
        <f t="shared" si="269"/>
        <v>541</v>
      </c>
      <c r="AU243" s="2">
        <f t="shared" si="283"/>
        <v>0</v>
      </c>
      <c r="AV243" s="82">
        <f>IF(ISNA(VLOOKUP($CZ243,'Audit Values'!$A$2:$AC$360,2,FALSE)),"",IF(AND(Weightings!H243&gt;0,VLOOKUP($CZ243,'Audit Values'!$A$2:$AC$360,29,FALSE)&lt;Weightings!H243),Weightings!H243,VLOOKUP($CZ243,'Audit Values'!$A$2:$AC$360,29,FALSE)))</f>
        <v>1</v>
      </c>
      <c r="AW243" s="82" t="str">
        <f>IF(ISNA(VLOOKUP($CZ243,'Audit Values'!$A$2:$AD$360,2,FALSE)),"",VLOOKUP($CZ243,'Audit Values'!$A$2:$AD$360,30,FALSE))</f>
        <v>A</v>
      </c>
      <c r="AX243" s="82" t="str">
        <f>IF(Weightings!G243="","",IF(Weightings!I243="Pending","PX","R"))</f>
        <v/>
      </c>
      <c r="AY243" s="114">
        <f>AR243*Weightings!$M$5+AU243</f>
        <v>1899810</v>
      </c>
      <c r="AZ243" s="2">
        <f>AT243*Weightings!$M$5+AU243</f>
        <v>2076358</v>
      </c>
      <c r="BA243" s="2">
        <f>IF(Weightings!G243&gt;0,Weightings!G243,'Preliminary SO66'!AB240)</f>
        <v>2120111</v>
      </c>
      <c r="BB243" s="2">
        <f t="shared" si="270"/>
        <v>2076358</v>
      </c>
      <c r="BC243" s="124"/>
      <c r="BD243" s="124">
        <f>Weightings!E243</f>
        <v>0</v>
      </c>
      <c r="BE243" s="124">
        <f>Weightings!F243</f>
        <v>0</v>
      </c>
      <c r="BF243" s="2">
        <f t="shared" si="271"/>
        <v>0</v>
      </c>
      <c r="BG243" s="2">
        <f t="shared" si="272"/>
        <v>2076358</v>
      </c>
      <c r="BH243" s="2">
        <f>MAX(ROUND(((AR243-AO243)*4433)+AP243,0),ROUND(((AR243-AO243)*4433)+Weightings!B243,0))</f>
        <v>2392262</v>
      </c>
      <c r="BI243" s="174">
        <v>0.3</v>
      </c>
      <c r="BJ243" s="2">
        <f t="shared" si="298"/>
        <v>717679</v>
      </c>
      <c r="BK243" s="173">
        <v>684200</v>
      </c>
      <c r="BL243" s="2">
        <f t="shared" si="246"/>
        <v>684200</v>
      </c>
      <c r="BM243" s="3">
        <f t="shared" si="284"/>
        <v>0.28599999999999998</v>
      </c>
      <c r="BN243" s="1">
        <f t="shared" si="273"/>
        <v>0</v>
      </c>
      <c r="BO243" s="4" t="b">
        <f t="shared" si="274"/>
        <v>1</v>
      </c>
      <c r="BP243" s="5">
        <f t="shared" si="275"/>
        <v>1399.01</v>
      </c>
      <c r="BQ243" s="6">
        <f t="shared" si="247"/>
        <v>0.63024100000000005</v>
      </c>
      <c r="BR243" s="4">
        <f t="shared" si="276"/>
        <v>154.30000000000001</v>
      </c>
      <c r="BS243" s="4" t="b">
        <f t="shared" si="277"/>
        <v>0</v>
      </c>
      <c r="BT243" s="4">
        <f t="shared" si="278"/>
        <v>0</v>
      </c>
      <c r="BU243" s="6">
        <f t="shared" si="248"/>
        <v>0</v>
      </c>
      <c r="BV243" s="1">
        <f t="shared" si="279"/>
        <v>0</v>
      </c>
      <c r="BW243" s="1">
        <f t="shared" si="280"/>
        <v>0</v>
      </c>
      <c r="BX243" s="116">
        <v>358.2</v>
      </c>
      <c r="BY243" s="7">
        <f t="shared" si="285"/>
        <v>0.2</v>
      </c>
      <c r="BZ243" s="7">
        <f>IF(ROUND((Weightings!$P$5*BY243^Weightings!$P$6*Weightings!$P$8 ),2)&lt;Weightings!$P$7,Weightings!$P$7,ROUND((Weightings!$P$5*BY243^Weightings!$P$6*Weightings!$P$8 ),2))</f>
        <v>1446.8</v>
      </c>
      <c r="CA243" s="8">
        <f>ROUND(BZ243/Weightings!$M$5,4)</f>
        <v>0.377</v>
      </c>
      <c r="CB243" s="1">
        <f t="shared" si="286"/>
        <v>27.5</v>
      </c>
      <c r="CC243" s="173">
        <v>0</v>
      </c>
      <c r="CD243" s="173">
        <v>0</v>
      </c>
      <c r="CE243" s="173">
        <v>0</v>
      </c>
      <c r="CF243" s="177">
        <v>0</v>
      </c>
      <c r="CG243" s="2">
        <f>AS243*Weightings!$M$5*CF243</f>
        <v>0</v>
      </c>
      <c r="CH243" s="2">
        <f t="shared" si="250"/>
        <v>0</v>
      </c>
      <c r="CI243" s="117">
        <f t="shared" si="281"/>
        <v>0.47399999999999998</v>
      </c>
      <c r="CJ243" s="4">
        <f t="shared" si="282"/>
        <v>0.7</v>
      </c>
      <c r="CK243" s="1">
        <f t="shared" si="287"/>
        <v>0</v>
      </c>
      <c r="CL243" s="1">
        <f t="shared" si="288"/>
        <v>0</v>
      </c>
      <c r="CM243" s="1">
        <f t="shared" si="289"/>
        <v>10.1</v>
      </c>
      <c r="CN243" s="1">
        <f>IF(ISNA(VLOOKUP($CZ243,'Audit Values'!$A$2:$AE$439,2,FALSE)),'Preliminary SO66'!T240,VLOOKUP($CZ243,'Audit Values'!$A$2:$AE$439,20,FALSE))</f>
        <v>0</v>
      </c>
      <c r="CO243" s="1">
        <f t="shared" si="254"/>
        <v>0</v>
      </c>
      <c r="CP243" s="183">
        <v>0</v>
      </c>
      <c r="CQ243" s="1">
        <f t="shared" si="255"/>
        <v>0</v>
      </c>
      <c r="CR243" s="2">
        <f>IF(ISNA(VLOOKUP($CZ243,'Audit Values'!$A$2:$AE$439,2,FALSE)),'Preliminary SO66'!V240,VLOOKUP($CZ243,'Audit Values'!$A$2:$AE$439,22,FALSE))</f>
        <v>0</v>
      </c>
      <c r="CS243" s="1">
        <f t="shared" si="256"/>
        <v>0</v>
      </c>
      <c r="CT243" s="2">
        <f>IF(ISNA(VLOOKUP($CZ243,'Audit Values'!$A$2:$AE$439,2,FALSE)),'Preliminary SO66'!W240,VLOOKUP($CZ243,'Audit Values'!$A$2:$AE$439,23,FALSE))</f>
        <v>0</v>
      </c>
      <c r="CU243" s="1">
        <f t="shared" si="301"/>
        <v>0</v>
      </c>
      <c r="CV243" s="1">
        <f t="shared" si="302"/>
        <v>0</v>
      </c>
      <c r="CW243" s="176">
        <v>0</v>
      </c>
      <c r="CX243" s="2">
        <f>IF(CW243&gt;0,Weightings!$M$11*AR243,0)</f>
        <v>0</v>
      </c>
      <c r="CY243" s="2">
        <f t="shared" si="290"/>
        <v>0</v>
      </c>
      <c r="CZ243" s="108" t="s">
        <v>535</v>
      </c>
    </row>
    <row r="244" spans="1:104">
      <c r="A244" s="82">
        <v>460</v>
      </c>
      <c r="B244" s="4" t="s">
        <v>76</v>
      </c>
      <c r="C244" s="4" t="s">
        <v>870</v>
      </c>
      <c r="D244" s="1">
        <v>810.3</v>
      </c>
      <c r="E244" s="1">
        <v>0</v>
      </c>
      <c r="F244" s="1">
        <f t="shared" si="294"/>
        <v>810.3</v>
      </c>
      <c r="G244" s="1">
        <v>817.8</v>
      </c>
      <c r="H244" s="1">
        <v>0</v>
      </c>
      <c r="I244" s="1">
        <f t="shared" si="257"/>
        <v>817.8</v>
      </c>
      <c r="J244" s="1">
        <f t="shared" si="258"/>
        <v>794</v>
      </c>
      <c r="K244" s="1">
        <f>IF(ISNA(VLOOKUP($CZ244,'Audit Values'!$A$2:$AE$439,2,FALSE)),'Preliminary SO66'!B241,VLOOKUP($CZ244,'Audit Values'!$A$2:$AE$439,31,FALSE))</f>
        <v>794</v>
      </c>
      <c r="L244" s="1">
        <f t="shared" si="259"/>
        <v>817.8</v>
      </c>
      <c r="M244" s="1">
        <f>IF(ISNA(VLOOKUP($CZ244,'Audit Values'!$A$2:$AE$439,2,FALSE)),'Preliminary SO66'!Z241,VLOOKUP($CZ244,'Audit Values'!$A$2:$AE$439,26,FALSE))</f>
        <v>0</v>
      </c>
      <c r="N244" s="1">
        <f t="shared" si="260"/>
        <v>817.8</v>
      </c>
      <c r="O244" s="1">
        <f>IF(ISNA(VLOOKUP($CZ244,'Audit Values'!$A$2:$AE$439,2,FALSE)),'Preliminary SO66'!C241,IF(VLOOKUP($CZ244,'Audit Values'!$A$2:$AE$439,28,FALSE)="",VLOOKUP($CZ244,'Audit Values'!$A$2:$AE$439,3,FALSE),VLOOKUP($CZ244,'Audit Values'!$A$2:$AE$439,28,FALSE)))</f>
        <v>0</v>
      </c>
      <c r="P244" s="109">
        <f t="shared" si="261"/>
        <v>794</v>
      </c>
      <c r="Q244" s="110">
        <f t="shared" si="262"/>
        <v>794</v>
      </c>
      <c r="R244" s="111">
        <f t="shared" si="263"/>
        <v>794</v>
      </c>
      <c r="S244" s="1">
        <f t="shared" si="264"/>
        <v>817.8</v>
      </c>
      <c r="T244" s="1">
        <f t="shared" si="293"/>
        <v>0</v>
      </c>
      <c r="U244" s="1">
        <f t="shared" si="265"/>
        <v>252.1</v>
      </c>
      <c r="V244" s="1">
        <f t="shared" si="251"/>
        <v>252.1</v>
      </c>
      <c r="W244" s="1">
        <f t="shared" si="252"/>
        <v>0</v>
      </c>
      <c r="X244" s="1">
        <f>IF(ISNA(VLOOKUP($CZ244,'Audit Values'!$A$2:$AE$439,2,FALSE)),'Preliminary SO66'!D241,VLOOKUP($CZ244,'Audit Values'!$A$2:$AE$439,4,FALSE))</f>
        <v>302.3</v>
      </c>
      <c r="Y244" s="1">
        <f>ROUND((X244/6)*Weightings!$M$6,1)</f>
        <v>25.2</v>
      </c>
      <c r="Z244" s="1">
        <f>IF(ISNA(VLOOKUP($CZ244,'Audit Values'!$A$2:$AE$439,2,FALSE)),'Preliminary SO66'!F241,VLOOKUP($CZ244,'Audit Values'!$A$2:$AE$439,6,FALSE))</f>
        <v>52.2</v>
      </c>
      <c r="AA244" s="1">
        <f>ROUND((Z244/6)*Weightings!$M$7,1)</f>
        <v>3.4</v>
      </c>
      <c r="AB244" s="2">
        <f>IF(ISNA(VLOOKUP($CZ244,'Audit Values'!$A$2:$AE$439,2,FALSE)),'Preliminary SO66'!H241,VLOOKUP($CZ244,'Audit Values'!$A$2:$AE$439,8,FALSE))</f>
        <v>146</v>
      </c>
      <c r="AC244" s="1">
        <f>ROUND(AB244*Weightings!$M$8,1)</f>
        <v>66.599999999999994</v>
      </c>
      <c r="AD244" s="1">
        <f t="shared" si="249"/>
        <v>0</v>
      </c>
      <c r="AE244" s="185">
        <v>54</v>
      </c>
      <c r="AF244" s="1">
        <f>AE244*Weightings!$M$9</f>
        <v>2.5</v>
      </c>
      <c r="AG244" s="1">
        <f>IF(ISNA(VLOOKUP($CZ244,'Audit Values'!$A$2:$AE$439,2,FALSE)),'Preliminary SO66'!L241,VLOOKUP($CZ244,'Audit Values'!$A$2:$AE$439,12,FALSE))</f>
        <v>0</v>
      </c>
      <c r="AH244" s="1">
        <f>ROUND(AG244*Weightings!$M$10,1)</f>
        <v>0</v>
      </c>
      <c r="AI244" s="1">
        <f>IF(ISNA(VLOOKUP($CZ244,'Audit Values'!$A$2:$AE$439,2,FALSE)),'Preliminary SO66'!O241,VLOOKUP($CZ244,'Audit Values'!$A$2:$AE$439,15,FALSE))</f>
        <v>76.5</v>
      </c>
      <c r="AJ244" s="1">
        <f t="shared" si="266"/>
        <v>18.899999999999999</v>
      </c>
      <c r="AK244" s="1">
        <f>CC244/Weightings!$M$5</f>
        <v>0</v>
      </c>
      <c r="AL244" s="1">
        <f>CD244/Weightings!$M$5</f>
        <v>0</v>
      </c>
      <c r="AM244" s="1">
        <f>CH244/Weightings!$M$5</f>
        <v>0</v>
      </c>
      <c r="AN244" s="1">
        <f t="shared" si="253"/>
        <v>0</v>
      </c>
      <c r="AO244" s="1">
        <f>IF(ISNA(VLOOKUP($CZ244,'Audit Values'!$A$2:$AE$439,2,FALSE)),'Preliminary SO66'!X241,VLOOKUP($CZ244,'Audit Values'!$A$2:$AE$439,24,FALSE))</f>
        <v>0</v>
      </c>
      <c r="AP244" s="188">
        <v>650295.00000000012</v>
      </c>
      <c r="AQ244" s="113">
        <f>AP244/Weightings!$M$5</f>
        <v>169.4</v>
      </c>
      <c r="AR244" s="113">
        <f t="shared" si="267"/>
        <v>1186.5</v>
      </c>
      <c r="AS244" s="1">
        <f t="shared" si="268"/>
        <v>1355.9</v>
      </c>
      <c r="AT244" s="1">
        <f t="shared" si="269"/>
        <v>1355.9</v>
      </c>
      <c r="AU244" s="2">
        <f t="shared" si="283"/>
        <v>0</v>
      </c>
      <c r="AV244" s="82">
        <f>IF(ISNA(VLOOKUP($CZ244,'Audit Values'!$A$2:$AC$360,2,FALSE)),"",IF(AND(Weightings!H244&gt;0,VLOOKUP($CZ244,'Audit Values'!$A$2:$AC$360,29,FALSE)&lt;Weightings!H244),Weightings!H244,VLOOKUP($CZ244,'Audit Values'!$A$2:$AC$360,29,FALSE)))</f>
        <v>22</v>
      </c>
      <c r="AW244" s="82" t="str">
        <f>IF(ISNA(VLOOKUP($CZ244,'Audit Values'!$A$2:$AD$360,2,FALSE)),"",VLOOKUP($CZ244,'Audit Values'!$A$2:$AD$360,30,FALSE))</f>
        <v>A</v>
      </c>
      <c r="AX244" s="82" t="str">
        <f>IF(Weightings!G244="","",IF(Weightings!I244="Pending","PX","R"))</f>
        <v/>
      </c>
      <c r="AY244" s="114">
        <f>AR244*Weightings!$M$5+AU244</f>
        <v>4553787</v>
      </c>
      <c r="AZ244" s="2">
        <f>AT244*Weightings!$M$5+AU244</f>
        <v>5203944</v>
      </c>
      <c r="BA244" s="2">
        <f>IF(Weightings!G244&gt;0,Weightings!G244,'Preliminary SO66'!AB241)</f>
        <v>5354778</v>
      </c>
      <c r="BB244" s="2">
        <f t="shared" si="270"/>
        <v>5203944</v>
      </c>
      <c r="BC244" s="124"/>
      <c r="BD244" s="124">
        <f>Weightings!E244</f>
        <v>0</v>
      </c>
      <c r="BE244" s="124">
        <f>Weightings!F244</f>
        <v>0</v>
      </c>
      <c r="BF244" s="2">
        <f t="shared" si="271"/>
        <v>0</v>
      </c>
      <c r="BG244" s="2">
        <f t="shared" si="272"/>
        <v>5203944</v>
      </c>
      <c r="BH244" s="2">
        <f>MAX(ROUND(((AR244-AO244)*4433)+AP244,0),ROUND(((AR244-AO244)*4433)+Weightings!B244,0))</f>
        <v>5910050</v>
      </c>
      <c r="BI244" s="174">
        <v>0.3</v>
      </c>
      <c r="BJ244" s="2">
        <f t="shared" si="298"/>
        <v>1773015</v>
      </c>
      <c r="BK244" s="173">
        <v>1801000</v>
      </c>
      <c r="BL244" s="2">
        <f t="shared" si="246"/>
        <v>1773015</v>
      </c>
      <c r="BM244" s="3">
        <f t="shared" si="284"/>
        <v>0.3</v>
      </c>
      <c r="BN244" s="1">
        <f t="shared" si="273"/>
        <v>0</v>
      </c>
      <c r="BO244" s="4" t="b">
        <f t="shared" si="274"/>
        <v>0</v>
      </c>
      <c r="BP244" s="5">
        <f t="shared" si="275"/>
        <v>0</v>
      </c>
      <c r="BQ244" s="6">
        <f t="shared" si="247"/>
        <v>0</v>
      </c>
      <c r="BR244" s="4">
        <f t="shared" si="276"/>
        <v>0</v>
      </c>
      <c r="BS244" s="4" t="b">
        <f t="shared" si="277"/>
        <v>1</v>
      </c>
      <c r="BT244" s="4">
        <f t="shared" si="278"/>
        <v>640.77750000000003</v>
      </c>
      <c r="BU244" s="6">
        <f t="shared" si="248"/>
        <v>0.30826399999999998</v>
      </c>
      <c r="BV244" s="1">
        <f t="shared" si="279"/>
        <v>252.1</v>
      </c>
      <c r="BW244" s="1">
        <f t="shared" si="280"/>
        <v>0</v>
      </c>
      <c r="BX244" s="116">
        <v>60</v>
      </c>
      <c r="BY244" s="7">
        <f t="shared" si="285"/>
        <v>1.28</v>
      </c>
      <c r="BZ244" s="7">
        <f>IF(ROUND((Weightings!$P$5*BY244^Weightings!$P$6*Weightings!$P$8 ),2)&lt;Weightings!$P$7,Weightings!$P$7,ROUND((Weightings!$P$5*BY244^Weightings!$P$6*Weightings!$P$8 ),2))</f>
        <v>947.37</v>
      </c>
      <c r="CA244" s="8">
        <f>ROUND(BZ244/Weightings!$M$5,4)</f>
        <v>0.24679999999999999</v>
      </c>
      <c r="CB244" s="1">
        <f t="shared" si="286"/>
        <v>18.899999999999999</v>
      </c>
      <c r="CC244" s="173">
        <v>0</v>
      </c>
      <c r="CD244" s="173">
        <v>0</v>
      </c>
      <c r="CE244" s="173">
        <v>0</v>
      </c>
      <c r="CF244" s="177">
        <v>0</v>
      </c>
      <c r="CG244" s="2">
        <f>AS244*Weightings!$M$5*CF244</f>
        <v>0</v>
      </c>
      <c r="CH244" s="2">
        <f t="shared" si="250"/>
        <v>0</v>
      </c>
      <c r="CI244" s="117">
        <f t="shared" si="281"/>
        <v>0.17899999999999999</v>
      </c>
      <c r="CJ244" s="4">
        <f t="shared" si="282"/>
        <v>13.6</v>
      </c>
      <c r="CK244" s="1">
        <f t="shared" si="287"/>
        <v>0</v>
      </c>
      <c r="CL244" s="1">
        <f t="shared" si="288"/>
        <v>0</v>
      </c>
      <c r="CM244" s="1">
        <f t="shared" si="289"/>
        <v>0</v>
      </c>
      <c r="CN244" s="1">
        <f>IF(ISNA(VLOOKUP($CZ244,'Audit Values'!$A$2:$AE$439,2,FALSE)),'Preliminary SO66'!T241,VLOOKUP($CZ244,'Audit Values'!$A$2:$AE$439,20,FALSE))</f>
        <v>0</v>
      </c>
      <c r="CO244" s="1">
        <f t="shared" si="254"/>
        <v>0</v>
      </c>
      <c r="CP244" s="183">
        <v>0</v>
      </c>
      <c r="CQ244" s="1">
        <f t="shared" si="255"/>
        <v>0</v>
      </c>
      <c r="CR244" s="2">
        <f>IF(ISNA(VLOOKUP($CZ244,'Audit Values'!$A$2:$AE$439,2,FALSE)),'Preliminary SO66'!V241,VLOOKUP($CZ244,'Audit Values'!$A$2:$AE$439,22,FALSE))</f>
        <v>0</v>
      </c>
      <c r="CS244" s="1">
        <f t="shared" si="256"/>
        <v>0</v>
      </c>
      <c r="CT244" s="2">
        <f>IF(ISNA(VLOOKUP($CZ244,'Audit Values'!$A$2:$AE$439,2,FALSE)),'Preliminary SO66'!W241,VLOOKUP($CZ244,'Audit Values'!$A$2:$AE$439,23,FALSE))</f>
        <v>0</v>
      </c>
      <c r="CU244" s="1">
        <f t="shared" si="301"/>
        <v>0</v>
      </c>
      <c r="CV244" s="1">
        <f t="shared" si="302"/>
        <v>0</v>
      </c>
      <c r="CW244" s="176">
        <v>0</v>
      </c>
      <c r="CX244" s="2">
        <f>IF(CW244&gt;0,Weightings!$M$11*AR244,0)</f>
        <v>0</v>
      </c>
      <c r="CY244" s="2">
        <f t="shared" si="290"/>
        <v>0</v>
      </c>
      <c r="CZ244" s="108" t="s">
        <v>536</v>
      </c>
    </row>
    <row r="245" spans="1:104">
      <c r="A245" s="82">
        <v>461</v>
      </c>
      <c r="B245" s="4" t="s">
        <v>85</v>
      </c>
      <c r="C245" s="4" t="s">
        <v>871</v>
      </c>
      <c r="D245" s="1">
        <v>709.5</v>
      </c>
      <c r="E245" s="1">
        <v>0</v>
      </c>
      <c r="F245" s="1">
        <f t="shared" si="294"/>
        <v>709.5</v>
      </c>
      <c r="G245" s="1">
        <v>687.5</v>
      </c>
      <c r="H245" s="1">
        <v>0</v>
      </c>
      <c r="I245" s="1">
        <f t="shared" si="257"/>
        <v>687.5</v>
      </c>
      <c r="J245" s="1">
        <f t="shared" si="258"/>
        <v>663.5</v>
      </c>
      <c r="K245" s="1">
        <f>IF(ISNA(VLOOKUP($CZ245,'Audit Values'!$A$2:$AE$439,2,FALSE)),'Preliminary SO66'!B242,VLOOKUP($CZ245,'Audit Values'!$A$2:$AE$439,31,FALSE))</f>
        <v>663.5</v>
      </c>
      <c r="L245" s="1">
        <f t="shared" si="259"/>
        <v>687.5</v>
      </c>
      <c r="M245" s="1">
        <f>IF(ISNA(VLOOKUP($CZ245,'Audit Values'!$A$2:$AE$439,2,FALSE)),'Preliminary SO66'!Z242,VLOOKUP($CZ245,'Audit Values'!$A$2:$AE$439,26,FALSE))</f>
        <v>0</v>
      </c>
      <c r="N245" s="1">
        <f t="shared" si="260"/>
        <v>687.5</v>
      </c>
      <c r="O245" s="1">
        <f>IF(ISNA(VLOOKUP($CZ245,'Audit Values'!$A$2:$AE$439,2,FALSE)),'Preliminary SO66'!C242,IF(VLOOKUP($CZ245,'Audit Values'!$A$2:$AE$439,28,FALSE)="",VLOOKUP($CZ245,'Audit Values'!$A$2:$AE$439,3,FALSE),VLOOKUP($CZ245,'Audit Values'!$A$2:$AE$439,28,FALSE)))</f>
        <v>8</v>
      </c>
      <c r="P245" s="109">
        <f t="shared" si="261"/>
        <v>671.5</v>
      </c>
      <c r="Q245" s="110">
        <f t="shared" si="262"/>
        <v>671.5</v>
      </c>
      <c r="R245" s="111">
        <f t="shared" si="263"/>
        <v>671.5</v>
      </c>
      <c r="S245" s="1">
        <f t="shared" si="264"/>
        <v>695.5</v>
      </c>
      <c r="T245" s="1">
        <f t="shared" si="293"/>
        <v>0</v>
      </c>
      <c r="U245" s="1">
        <f t="shared" si="265"/>
        <v>243.3</v>
      </c>
      <c r="V245" s="1">
        <f>MAX(BN245,BR245,BV245)</f>
        <v>243.3</v>
      </c>
      <c r="W245" s="1">
        <f t="shared" si="252"/>
        <v>0</v>
      </c>
      <c r="X245" s="1">
        <f>IF(ISNA(VLOOKUP($CZ245,'Audit Values'!$A$2:$AE$439,2,FALSE)),'Preliminary SO66'!D242,VLOOKUP($CZ245,'Audit Values'!$A$2:$AE$439,4,FALSE))</f>
        <v>162.5</v>
      </c>
      <c r="Y245" s="1">
        <f>ROUND((X245/6)*Weightings!$M$6,1)</f>
        <v>13.5</v>
      </c>
      <c r="Z245" s="1">
        <f>IF(ISNA(VLOOKUP($CZ245,'Audit Values'!$A$2:$AE$439,2,FALSE)),'Preliminary SO66'!F242,VLOOKUP($CZ245,'Audit Values'!$A$2:$AE$439,6,FALSE))</f>
        <v>0</v>
      </c>
      <c r="AA245" s="1">
        <f>ROUND((Z245/6)*Weightings!$M$7,1)</f>
        <v>0</v>
      </c>
      <c r="AB245" s="2">
        <f>IF(ISNA(VLOOKUP($CZ245,'Audit Values'!$A$2:$AE$439,2,FALSE)),'Preliminary SO66'!H242,VLOOKUP($CZ245,'Audit Values'!$A$2:$AE$439,8,FALSE))</f>
        <v>349</v>
      </c>
      <c r="AC245" s="1">
        <f>ROUND(AB245*Weightings!$M$8,1)</f>
        <v>159.1</v>
      </c>
      <c r="AD245" s="1">
        <f t="shared" si="249"/>
        <v>36.6</v>
      </c>
      <c r="AE245" s="185">
        <v>31</v>
      </c>
      <c r="AF245" s="1">
        <f>AE245*Weightings!$M$9</f>
        <v>1.4</v>
      </c>
      <c r="AG245" s="1">
        <f>IF(ISNA(VLOOKUP($CZ245,'Audit Values'!$A$2:$AE$439,2,FALSE)),'Preliminary SO66'!L242,VLOOKUP($CZ245,'Audit Values'!$A$2:$AE$439,12,FALSE))</f>
        <v>0</v>
      </c>
      <c r="AH245" s="1">
        <f>ROUND(AG245*Weightings!$M$10,1)</f>
        <v>0</v>
      </c>
      <c r="AI245" s="1">
        <f>IF(ISNA(VLOOKUP($CZ245,'Audit Values'!$A$2:$AE$439,2,FALSE)),'Preliminary SO66'!O242,VLOOKUP($CZ245,'Audit Values'!$A$2:$AE$439,15,FALSE))</f>
        <v>92</v>
      </c>
      <c r="AJ245" s="1">
        <f t="shared" si="266"/>
        <v>25.5</v>
      </c>
      <c r="AK245" s="1">
        <f>CC245/Weightings!$M$5</f>
        <v>0</v>
      </c>
      <c r="AL245" s="1">
        <f>CD245/Weightings!$M$5</f>
        <v>0</v>
      </c>
      <c r="AM245" s="1">
        <f>CH245/Weightings!$M$5</f>
        <v>0</v>
      </c>
      <c r="AN245" s="1">
        <f t="shared" si="253"/>
        <v>0</v>
      </c>
      <c r="AO245" s="1">
        <f>IF(ISNA(VLOOKUP($CZ245,'Audit Values'!$A$2:$AE$439,2,FALSE)),'Preliminary SO66'!X242,VLOOKUP($CZ245,'Audit Values'!$A$2:$AE$439,24,FALSE))</f>
        <v>0</v>
      </c>
      <c r="AP245" s="188">
        <v>566176</v>
      </c>
      <c r="AQ245" s="113">
        <f>AP245/Weightings!$M$5</f>
        <v>147.5</v>
      </c>
      <c r="AR245" s="113">
        <f t="shared" si="267"/>
        <v>1174.9000000000001</v>
      </c>
      <c r="AS245" s="1">
        <f t="shared" si="268"/>
        <v>1322.4</v>
      </c>
      <c r="AT245" s="1">
        <f t="shared" si="269"/>
        <v>1322.4</v>
      </c>
      <c r="AU245" s="2">
        <f t="shared" si="283"/>
        <v>0</v>
      </c>
      <c r="AV245" s="82">
        <f>IF(ISNA(VLOOKUP($CZ245,'Audit Values'!$A$2:$AC$360,2,FALSE)),"",IF(AND(Weightings!H245&gt;0,VLOOKUP($CZ245,'Audit Values'!$A$2:$AC$360,29,FALSE)&lt;Weightings!H245),Weightings!H245,VLOOKUP($CZ245,'Audit Values'!$A$2:$AC$360,29,FALSE)))</f>
        <v>15</v>
      </c>
      <c r="AW245" s="82" t="str">
        <f>IF(ISNA(VLOOKUP($CZ245,'Audit Values'!$A$2:$AD$360,2,FALSE)),"",VLOOKUP($CZ245,'Audit Values'!$A$2:$AD$360,30,FALSE))</f>
        <v>A</v>
      </c>
      <c r="AX245" s="82" t="str">
        <f>IF(Weightings!G245="","",IF(Weightings!I245="Pending","PX","R"))</f>
        <v/>
      </c>
      <c r="AY245" s="114">
        <f>AR245*Weightings!$M$5+AU245</f>
        <v>4509266</v>
      </c>
      <c r="AZ245" s="2">
        <f>AT245*Weightings!$M$5+AU245</f>
        <v>5075371</v>
      </c>
      <c r="BA245" s="2">
        <f>IF(Weightings!G245&gt;0,Weightings!G245,'Preliminary SO66'!AB242)</f>
        <v>5208934</v>
      </c>
      <c r="BB245" s="2">
        <f t="shared" si="270"/>
        <v>5075371</v>
      </c>
      <c r="BC245" s="124"/>
      <c r="BD245" s="124">
        <f>Weightings!E245</f>
        <v>-2141</v>
      </c>
      <c r="BE245" s="124">
        <f>Weightings!F245</f>
        <v>0</v>
      </c>
      <c r="BF245" s="2">
        <f t="shared" si="271"/>
        <v>-2141</v>
      </c>
      <c r="BG245" s="2">
        <f t="shared" si="272"/>
        <v>5073230</v>
      </c>
      <c r="BH245" s="2">
        <f>MAX(ROUND(((AR245-AO245)*4433)+AP245,0),ROUND(((AR245-AO245)*4433)+Weightings!B245,0))</f>
        <v>5797829</v>
      </c>
      <c r="BI245" s="174">
        <v>0.3</v>
      </c>
      <c r="BJ245" s="2">
        <f t="shared" si="298"/>
        <v>1739349</v>
      </c>
      <c r="BK245" s="173">
        <v>1775902</v>
      </c>
      <c r="BL245" s="2">
        <f t="shared" ref="BL245:BL290" si="303">MIN(BJ245,BK245)</f>
        <v>1739349</v>
      </c>
      <c r="BM245" s="3">
        <f t="shared" si="284"/>
        <v>0.3</v>
      </c>
      <c r="BN245" s="1">
        <f t="shared" si="273"/>
        <v>0</v>
      </c>
      <c r="BO245" s="4" t="b">
        <f t="shared" si="274"/>
        <v>0</v>
      </c>
      <c r="BP245" s="5">
        <f t="shared" si="275"/>
        <v>0</v>
      </c>
      <c r="BQ245" s="6">
        <f t="shared" si="247"/>
        <v>0</v>
      </c>
      <c r="BR245" s="4">
        <f t="shared" si="276"/>
        <v>0</v>
      </c>
      <c r="BS245" s="4" t="b">
        <f t="shared" si="277"/>
        <v>1</v>
      </c>
      <c r="BT245" s="4">
        <f t="shared" si="278"/>
        <v>489.43130000000002</v>
      </c>
      <c r="BU245" s="6">
        <f t="shared" si="248"/>
        <v>0.34981600000000002</v>
      </c>
      <c r="BV245" s="1">
        <f t="shared" si="279"/>
        <v>243.3</v>
      </c>
      <c r="BW245" s="1">
        <f t="shared" si="280"/>
        <v>0</v>
      </c>
      <c r="BX245" s="116">
        <v>119</v>
      </c>
      <c r="BY245" s="7">
        <f t="shared" si="285"/>
        <v>0.77</v>
      </c>
      <c r="BZ245" s="7">
        <f>IF(ROUND((Weightings!$P$5*BY245^Weightings!$P$6*Weightings!$P$8 ),2)&lt;Weightings!$P$7,Weightings!$P$7,ROUND((Weightings!$P$5*BY245^Weightings!$P$6*Weightings!$P$8 ),2))</f>
        <v>1063.81</v>
      </c>
      <c r="CA245" s="8">
        <f>ROUND(BZ245/Weightings!$M$5,4)</f>
        <v>0.2772</v>
      </c>
      <c r="CB245" s="1">
        <f t="shared" si="286"/>
        <v>25.5</v>
      </c>
      <c r="CC245" s="173">
        <v>0</v>
      </c>
      <c r="CD245" s="173">
        <v>0</v>
      </c>
      <c r="CE245" s="173">
        <v>0</v>
      </c>
      <c r="CF245" s="177">
        <v>0</v>
      </c>
      <c r="CG245" s="2">
        <f>AS245*Weightings!$M$5*CF245</f>
        <v>0</v>
      </c>
      <c r="CH245" s="2">
        <f t="shared" si="250"/>
        <v>0</v>
      </c>
      <c r="CI245" s="117">
        <f t="shared" si="281"/>
        <v>0.502</v>
      </c>
      <c r="CJ245" s="4">
        <f t="shared" si="282"/>
        <v>5.8</v>
      </c>
      <c r="CK245" s="1">
        <f t="shared" si="287"/>
        <v>36.6</v>
      </c>
      <c r="CL245" s="1">
        <f t="shared" si="288"/>
        <v>0</v>
      </c>
      <c r="CM245" s="1">
        <f t="shared" si="289"/>
        <v>0</v>
      </c>
      <c r="CN245" s="1">
        <f>IF(ISNA(VLOOKUP($CZ245,'Audit Values'!$A$2:$AE$439,2,FALSE)),'Preliminary SO66'!T242,VLOOKUP($CZ245,'Audit Values'!$A$2:$AE$439,20,FALSE))</f>
        <v>0</v>
      </c>
      <c r="CO245" s="1">
        <f t="shared" si="254"/>
        <v>0</v>
      </c>
      <c r="CP245" s="183">
        <v>0</v>
      </c>
      <c r="CQ245" s="1">
        <f t="shared" si="255"/>
        <v>0</v>
      </c>
      <c r="CR245" s="2">
        <f>IF(ISNA(VLOOKUP($CZ245,'Audit Values'!$A$2:$AE$439,2,FALSE)),'Preliminary SO66'!V242,VLOOKUP($CZ245,'Audit Values'!$A$2:$AE$439,22,FALSE))</f>
        <v>0</v>
      </c>
      <c r="CS245" s="1">
        <f t="shared" si="256"/>
        <v>0</v>
      </c>
      <c r="CT245" s="2">
        <f>IF(ISNA(VLOOKUP($CZ245,'Audit Values'!$A$2:$AE$439,2,FALSE)),'Preliminary SO66'!W242,VLOOKUP($CZ245,'Audit Values'!$A$2:$AE$439,23,FALSE))</f>
        <v>0</v>
      </c>
      <c r="CU245" s="1">
        <f t="shared" si="301"/>
        <v>0</v>
      </c>
      <c r="CV245" s="1">
        <f t="shared" si="302"/>
        <v>0</v>
      </c>
      <c r="CW245" s="176">
        <v>0</v>
      </c>
      <c r="CX245" s="2">
        <f>IF(CW245&gt;0,Weightings!$M$11*AR245,0)</f>
        <v>0</v>
      </c>
      <c r="CY245" s="2">
        <f t="shared" si="290"/>
        <v>0</v>
      </c>
      <c r="CZ245" s="108" t="s">
        <v>537</v>
      </c>
    </row>
    <row r="246" spans="1:104">
      <c r="A246" s="82">
        <v>462</v>
      </c>
      <c r="B246" s="4" t="s">
        <v>104</v>
      </c>
      <c r="C246" s="4" t="s">
        <v>872</v>
      </c>
      <c r="D246" s="1">
        <v>331.9</v>
      </c>
      <c r="E246" s="1">
        <v>0</v>
      </c>
      <c r="F246" s="1">
        <f t="shared" si="294"/>
        <v>331.9</v>
      </c>
      <c r="G246" s="1">
        <v>324.89999999999998</v>
      </c>
      <c r="H246" s="1">
        <v>0</v>
      </c>
      <c r="I246" s="1">
        <f t="shared" si="257"/>
        <v>324.89999999999998</v>
      </c>
      <c r="J246" s="1">
        <f t="shared" si="258"/>
        <v>313</v>
      </c>
      <c r="K246" s="1">
        <f>IF(ISNA(VLOOKUP($CZ246,'Audit Values'!$A$2:$AE$439,2,FALSE)),'Preliminary SO66'!B243,VLOOKUP($CZ246,'Audit Values'!$A$2:$AE$439,31,FALSE))</f>
        <v>313</v>
      </c>
      <c r="L246" s="1">
        <f t="shared" si="259"/>
        <v>324.89999999999998</v>
      </c>
      <c r="M246" s="1">
        <f>IF(ISNA(VLOOKUP($CZ246,'Audit Values'!$A$2:$AE$439,2,FALSE)),'Preliminary SO66'!Z243,VLOOKUP($CZ246,'Audit Values'!$A$2:$AE$439,26,FALSE))</f>
        <v>0</v>
      </c>
      <c r="N246" s="1">
        <f t="shared" si="260"/>
        <v>324.89999999999998</v>
      </c>
      <c r="O246" s="1">
        <f>IF(ISNA(VLOOKUP($CZ246,'Audit Values'!$A$2:$AE$439,2,FALSE)),'Preliminary SO66'!C243,IF(VLOOKUP($CZ246,'Audit Values'!$A$2:$AE$439,28,FALSE)="",VLOOKUP($CZ246,'Audit Values'!$A$2:$AE$439,3,FALSE),VLOOKUP($CZ246,'Audit Values'!$A$2:$AE$439,28,FALSE)))</f>
        <v>0</v>
      </c>
      <c r="P246" s="109">
        <f t="shared" si="261"/>
        <v>313</v>
      </c>
      <c r="Q246" s="110">
        <f t="shared" si="262"/>
        <v>313</v>
      </c>
      <c r="R246" s="111">
        <f t="shared" si="263"/>
        <v>313</v>
      </c>
      <c r="S246" s="1">
        <f t="shared" si="264"/>
        <v>324.89999999999998</v>
      </c>
      <c r="T246" s="1">
        <f t="shared" si="293"/>
        <v>0</v>
      </c>
      <c r="U246" s="1">
        <f t="shared" si="265"/>
        <v>154.6</v>
      </c>
      <c r="V246" s="1">
        <f t="shared" si="251"/>
        <v>154.6</v>
      </c>
      <c r="W246" s="1">
        <f t="shared" si="252"/>
        <v>0</v>
      </c>
      <c r="X246" s="1">
        <f>IF(ISNA(VLOOKUP($CZ246,'Audit Values'!$A$2:$AE$439,2,FALSE)),'Preliminary SO66'!D243,VLOOKUP($CZ246,'Audit Values'!$A$2:$AE$439,4,FALSE))</f>
        <v>80.5</v>
      </c>
      <c r="Y246" s="1">
        <f>ROUND((X246/6)*Weightings!$M$6,1)</f>
        <v>6.7</v>
      </c>
      <c r="Z246" s="1">
        <f>IF(ISNA(VLOOKUP($CZ246,'Audit Values'!$A$2:$AE$439,2,FALSE)),'Preliminary SO66'!F243,VLOOKUP($CZ246,'Audit Values'!$A$2:$AE$439,6,FALSE))</f>
        <v>0</v>
      </c>
      <c r="AA246" s="1">
        <f>ROUND((Z246/6)*Weightings!$M$7,1)</f>
        <v>0</v>
      </c>
      <c r="AB246" s="2">
        <f>IF(ISNA(VLOOKUP($CZ246,'Audit Values'!$A$2:$AE$439,2,FALSE)),'Preliminary SO66'!H243,VLOOKUP($CZ246,'Audit Values'!$A$2:$AE$439,8,FALSE))</f>
        <v>155</v>
      </c>
      <c r="AC246" s="1">
        <f>ROUND(AB246*Weightings!$M$8,1)</f>
        <v>70.7</v>
      </c>
      <c r="AD246" s="1">
        <f t="shared" ref="AD246:AD290" si="304">MAX(CK246,CL246,CM246)</f>
        <v>13.8</v>
      </c>
      <c r="AE246" s="185">
        <v>11</v>
      </c>
      <c r="AF246" s="1">
        <f>AE246*Weightings!$M$9</f>
        <v>0.5</v>
      </c>
      <c r="AG246" s="1">
        <f>IF(ISNA(VLOOKUP($CZ246,'Audit Values'!$A$2:$AE$439,2,FALSE)),'Preliminary SO66'!L243,VLOOKUP($CZ246,'Audit Values'!$A$2:$AE$439,12,FALSE))</f>
        <v>0</v>
      </c>
      <c r="AH246" s="1">
        <f>ROUND(AG246*Weightings!$M$10,1)</f>
        <v>0</v>
      </c>
      <c r="AI246" s="1">
        <f>IF(ISNA(VLOOKUP($CZ246,'Audit Values'!$A$2:$AE$439,2,FALSE)),'Preliminary SO66'!O243,VLOOKUP($CZ246,'Audit Values'!$A$2:$AE$439,15,FALSE))</f>
        <v>138</v>
      </c>
      <c r="AJ246" s="1">
        <f t="shared" si="266"/>
        <v>43.2</v>
      </c>
      <c r="AK246" s="1">
        <f>CC246/Weightings!$M$5</f>
        <v>0</v>
      </c>
      <c r="AL246" s="1">
        <f>CD246/Weightings!$M$5</f>
        <v>0</v>
      </c>
      <c r="AM246" s="1">
        <f>CH246/Weightings!$M$5</f>
        <v>0</v>
      </c>
      <c r="AN246" s="1">
        <f t="shared" si="253"/>
        <v>0</v>
      </c>
      <c r="AO246" s="1">
        <f>IF(ISNA(VLOOKUP($CZ246,'Audit Values'!$A$2:$AE$439,2,FALSE)),'Preliminary SO66'!X243,VLOOKUP($CZ246,'Audit Values'!$A$2:$AE$439,24,FALSE))</f>
        <v>0</v>
      </c>
      <c r="AP246" s="188">
        <v>327838</v>
      </c>
      <c r="AQ246" s="113">
        <f>AP246/Weightings!$M$5</f>
        <v>85.4</v>
      </c>
      <c r="AR246" s="113">
        <f t="shared" si="267"/>
        <v>614.4</v>
      </c>
      <c r="AS246" s="1">
        <f t="shared" si="268"/>
        <v>699.8</v>
      </c>
      <c r="AT246" s="1">
        <f t="shared" si="269"/>
        <v>699.8</v>
      </c>
      <c r="AU246" s="2">
        <f t="shared" si="283"/>
        <v>0</v>
      </c>
      <c r="AV246" s="82">
        <f>IF(ISNA(VLOOKUP($CZ246,'Audit Values'!$A$2:$AC$360,2,FALSE)),"",IF(AND(Weightings!H246&gt;0,VLOOKUP($CZ246,'Audit Values'!$A$2:$AC$360,29,FALSE)&lt;Weightings!H246),Weightings!H246,VLOOKUP($CZ246,'Audit Values'!$A$2:$AC$360,29,FALSE)))</f>
        <v>2</v>
      </c>
      <c r="AW246" s="82" t="str">
        <f>IF(ISNA(VLOOKUP($CZ246,'Audit Values'!$A$2:$AD$360,2,FALSE)),"",VLOOKUP($CZ246,'Audit Values'!$A$2:$AD$360,30,FALSE))</f>
        <v>A</v>
      </c>
      <c r="AX246" s="82" t="str">
        <f>IF(Weightings!G246="","",IF(Weightings!I246="Pending","PX","R"))</f>
        <v/>
      </c>
      <c r="AY246" s="114">
        <f>AR246*Weightings!$M$5+AU246</f>
        <v>2358067</v>
      </c>
      <c r="AZ246" s="2">
        <f>AT246*Weightings!$M$5+AU246</f>
        <v>2685832</v>
      </c>
      <c r="BA246" s="2">
        <f>IF(Weightings!G246&gt;0,Weightings!G246,'Preliminary SO66'!AB243)</f>
        <v>2729202</v>
      </c>
      <c r="BB246" s="2">
        <f t="shared" si="270"/>
        <v>2685832</v>
      </c>
      <c r="BC246" s="124"/>
      <c r="BD246" s="124">
        <f>Weightings!E246</f>
        <v>0</v>
      </c>
      <c r="BE246" s="124">
        <f>Weightings!F246</f>
        <v>0</v>
      </c>
      <c r="BF246" s="2">
        <f t="shared" si="271"/>
        <v>0</v>
      </c>
      <c r="BG246" s="2">
        <f t="shared" si="272"/>
        <v>2685832</v>
      </c>
      <c r="BH246" s="2">
        <f>MAX(ROUND(((AR246-AO246)*4433)+AP246,0),ROUND(((AR246-AO246)*4433)+Weightings!B246,0))</f>
        <v>3051473</v>
      </c>
      <c r="BI246" s="174">
        <v>0.3</v>
      </c>
      <c r="BJ246" s="2">
        <f t="shared" si="298"/>
        <v>915442</v>
      </c>
      <c r="BK246" s="173">
        <v>929733</v>
      </c>
      <c r="BL246" s="2">
        <f t="shared" si="303"/>
        <v>915442</v>
      </c>
      <c r="BM246" s="3">
        <f t="shared" si="284"/>
        <v>0.3</v>
      </c>
      <c r="BN246" s="1">
        <f t="shared" si="273"/>
        <v>0</v>
      </c>
      <c r="BO246" s="4" t="b">
        <f t="shared" si="274"/>
        <v>0</v>
      </c>
      <c r="BP246" s="5">
        <f t="shared" si="275"/>
        <v>0</v>
      </c>
      <c r="BQ246" s="6">
        <f t="shared" si="247"/>
        <v>0</v>
      </c>
      <c r="BR246" s="4">
        <f t="shared" si="276"/>
        <v>0</v>
      </c>
      <c r="BS246" s="4" t="b">
        <f t="shared" si="277"/>
        <v>1</v>
      </c>
      <c r="BT246" s="4">
        <f t="shared" si="278"/>
        <v>30.813800000000001</v>
      </c>
      <c r="BU246" s="6">
        <f t="shared" si="248"/>
        <v>0.47572599999999998</v>
      </c>
      <c r="BV246" s="1">
        <f t="shared" si="279"/>
        <v>154.6</v>
      </c>
      <c r="BW246" s="1">
        <f t="shared" si="280"/>
        <v>0</v>
      </c>
      <c r="BX246" s="116">
        <v>308.89999999999998</v>
      </c>
      <c r="BY246" s="7">
        <f t="shared" si="285"/>
        <v>0.45</v>
      </c>
      <c r="BZ246" s="7">
        <f>IF(ROUND((Weightings!$P$5*BY246^Weightings!$P$6*Weightings!$P$8 ),2)&lt;Weightings!$P$7,Weightings!$P$7,ROUND((Weightings!$P$5*BY246^Weightings!$P$6*Weightings!$P$8 ),2))</f>
        <v>1202.48</v>
      </c>
      <c r="CA246" s="8">
        <f>ROUND(BZ246/Weightings!$M$5,4)</f>
        <v>0.31330000000000002</v>
      </c>
      <c r="CB246" s="1">
        <f t="shared" si="286"/>
        <v>43.2</v>
      </c>
      <c r="CC246" s="173">
        <v>0</v>
      </c>
      <c r="CD246" s="173">
        <v>0</v>
      </c>
      <c r="CE246" s="173">
        <v>0</v>
      </c>
      <c r="CF246" s="177">
        <v>0</v>
      </c>
      <c r="CG246" s="2">
        <f>AS246*Weightings!$M$5*CF246</f>
        <v>0</v>
      </c>
      <c r="CH246" s="2">
        <f t="shared" ref="CH246:CH290" si="305">IF(CE246&gt;CG246,CG246,CE246)</f>
        <v>0</v>
      </c>
      <c r="CI246" s="117">
        <f t="shared" si="281"/>
        <v>0.47699999999999998</v>
      </c>
      <c r="CJ246" s="4">
        <f t="shared" si="282"/>
        <v>1.1000000000000001</v>
      </c>
      <c r="CK246" s="1">
        <f t="shared" si="287"/>
        <v>0</v>
      </c>
      <c r="CL246" s="1">
        <f t="shared" si="288"/>
        <v>0</v>
      </c>
      <c r="CM246" s="1">
        <f t="shared" si="289"/>
        <v>13.8</v>
      </c>
      <c r="CN246" s="1">
        <f>IF(ISNA(VLOOKUP($CZ246,'Audit Values'!$A$2:$AE$439,2,FALSE)),'Preliminary SO66'!T243,VLOOKUP($CZ246,'Audit Values'!$A$2:$AE$439,20,FALSE))</f>
        <v>0</v>
      </c>
      <c r="CO246" s="1">
        <f t="shared" si="254"/>
        <v>0</v>
      </c>
      <c r="CP246" s="183">
        <v>0</v>
      </c>
      <c r="CQ246" s="1">
        <f t="shared" si="255"/>
        <v>0</v>
      </c>
      <c r="CR246" s="2">
        <f>IF(ISNA(VLOOKUP($CZ246,'Audit Values'!$A$2:$AE$439,2,FALSE)),'Preliminary SO66'!V243,VLOOKUP($CZ246,'Audit Values'!$A$2:$AE$439,22,FALSE))</f>
        <v>0</v>
      </c>
      <c r="CS246" s="1">
        <f t="shared" si="256"/>
        <v>0</v>
      </c>
      <c r="CT246" s="2">
        <f>IF(ISNA(VLOOKUP($CZ246,'Audit Values'!$A$2:$AE$439,2,FALSE)),'Preliminary SO66'!W243,VLOOKUP($CZ246,'Audit Values'!$A$2:$AE$439,23,FALSE))</f>
        <v>0</v>
      </c>
      <c r="CU246" s="1">
        <f t="shared" si="301"/>
        <v>0</v>
      </c>
      <c r="CV246" s="1">
        <f t="shared" si="302"/>
        <v>0</v>
      </c>
      <c r="CW246" s="176">
        <v>0</v>
      </c>
      <c r="CX246" s="2">
        <f>IF(CW246&gt;0,Weightings!$M$11*AR246,0)</f>
        <v>0</v>
      </c>
      <c r="CY246" s="2">
        <f t="shared" si="290"/>
        <v>0</v>
      </c>
      <c r="CZ246" s="108" t="s">
        <v>538</v>
      </c>
    </row>
    <row r="247" spans="1:104">
      <c r="A247" s="82">
        <v>463</v>
      </c>
      <c r="B247" s="4" t="s">
        <v>104</v>
      </c>
      <c r="C247" s="4" t="s">
        <v>873</v>
      </c>
      <c r="D247" s="1">
        <v>365.5</v>
      </c>
      <c r="E247" s="1">
        <v>0</v>
      </c>
      <c r="F247" s="1">
        <f t="shared" si="294"/>
        <v>365.5</v>
      </c>
      <c r="G247" s="1">
        <v>356</v>
      </c>
      <c r="H247" s="1">
        <v>0</v>
      </c>
      <c r="I247" s="1">
        <f t="shared" si="257"/>
        <v>356</v>
      </c>
      <c r="J247" s="1">
        <f t="shared" si="258"/>
        <v>340</v>
      </c>
      <c r="K247" s="1">
        <f>IF(ISNA(VLOOKUP($CZ247,'Audit Values'!$A$2:$AE$439,2,FALSE)),'Preliminary SO66'!B244,VLOOKUP($CZ247,'Audit Values'!$A$2:$AE$439,31,FALSE))</f>
        <v>340</v>
      </c>
      <c r="L247" s="1">
        <f t="shared" si="259"/>
        <v>356</v>
      </c>
      <c r="M247" s="1">
        <f>IF(ISNA(VLOOKUP($CZ247,'Audit Values'!$A$2:$AE$439,2,FALSE)),'Preliminary SO66'!Z244,VLOOKUP($CZ247,'Audit Values'!$A$2:$AE$439,26,FALSE))</f>
        <v>0</v>
      </c>
      <c r="N247" s="1">
        <f t="shared" si="260"/>
        <v>356</v>
      </c>
      <c r="O247" s="1">
        <f>IF(ISNA(VLOOKUP($CZ247,'Audit Values'!$A$2:$AE$439,2,FALSE)),'Preliminary SO66'!C244,IF(VLOOKUP($CZ247,'Audit Values'!$A$2:$AE$439,28,FALSE)="",VLOOKUP($CZ247,'Audit Values'!$A$2:$AE$439,3,FALSE),VLOOKUP($CZ247,'Audit Values'!$A$2:$AE$439,28,FALSE)))</f>
        <v>0</v>
      </c>
      <c r="P247" s="109">
        <f t="shared" si="261"/>
        <v>340</v>
      </c>
      <c r="Q247" s="110">
        <f t="shared" si="262"/>
        <v>340</v>
      </c>
      <c r="R247" s="111">
        <f t="shared" si="263"/>
        <v>340</v>
      </c>
      <c r="S247" s="1">
        <f t="shared" si="264"/>
        <v>356</v>
      </c>
      <c r="T247" s="1">
        <f t="shared" si="293"/>
        <v>0</v>
      </c>
      <c r="U247" s="1">
        <f t="shared" si="265"/>
        <v>165.6</v>
      </c>
      <c r="V247" s="1">
        <f t="shared" si="251"/>
        <v>165.6</v>
      </c>
      <c r="W247" s="1">
        <f t="shared" si="252"/>
        <v>0</v>
      </c>
      <c r="X247" s="1">
        <f>IF(ISNA(VLOOKUP($CZ247,'Audit Values'!$A$2:$AE$439,2,FALSE)),'Preliminary SO66'!D244,VLOOKUP($CZ247,'Audit Values'!$A$2:$AE$439,4,FALSE))</f>
        <v>92.6</v>
      </c>
      <c r="Y247" s="1">
        <f>ROUND((X247/6)*Weightings!$M$6,1)</f>
        <v>7.7</v>
      </c>
      <c r="Z247" s="1">
        <f>IF(ISNA(VLOOKUP($CZ247,'Audit Values'!$A$2:$AE$439,2,FALSE)),'Preliminary SO66'!F244,VLOOKUP($CZ247,'Audit Values'!$A$2:$AE$439,6,FALSE))</f>
        <v>0</v>
      </c>
      <c r="AA247" s="1">
        <f>ROUND((Z247/6)*Weightings!$M$7,1)</f>
        <v>0</v>
      </c>
      <c r="AB247" s="2">
        <f>IF(ISNA(VLOOKUP($CZ247,'Audit Values'!$A$2:$AE$439,2,FALSE)),'Preliminary SO66'!H244,VLOOKUP($CZ247,'Audit Values'!$A$2:$AE$439,8,FALSE))</f>
        <v>140</v>
      </c>
      <c r="AC247" s="1">
        <f>ROUND(AB247*Weightings!$M$8,1)</f>
        <v>63.8</v>
      </c>
      <c r="AD247" s="1">
        <f t="shared" si="304"/>
        <v>4.2</v>
      </c>
      <c r="AE247" s="185">
        <v>37</v>
      </c>
      <c r="AF247" s="1">
        <f>AE247*Weightings!$M$9</f>
        <v>1.7</v>
      </c>
      <c r="AG247" s="1">
        <f>IF(ISNA(VLOOKUP($CZ247,'Audit Values'!$A$2:$AE$439,2,FALSE)),'Preliminary SO66'!L244,VLOOKUP($CZ247,'Audit Values'!$A$2:$AE$439,12,FALSE))</f>
        <v>0</v>
      </c>
      <c r="AH247" s="1">
        <f>ROUND(AG247*Weightings!$M$10,1)</f>
        <v>0</v>
      </c>
      <c r="AI247" s="1">
        <f>IF(ISNA(VLOOKUP($CZ247,'Audit Values'!$A$2:$AE$439,2,FALSE)),'Preliminary SO66'!O244,VLOOKUP($CZ247,'Audit Values'!$A$2:$AE$439,15,FALSE))</f>
        <v>106</v>
      </c>
      <c r="AJ247" s="1">
        <f t="shared" si="266"/>
        <v>29.5</v>
      </c>
      <c r="AK247" s="1">
        <f>CC247/Weightings!$M$5</f>
        <v>0</v>
      </c>
      <c r="AL247" s="1">
        <f>CD247/Weightings!$M$5</f>
        <v>0</v>
      </c>
      <c r="AM247" s="1">
        <f>CH247/Weightings!$M$5</f>
        <v>0</v>
      </c>
      <c r="AN247" s="1">
        <f t="shared" si="253"/>
        <v>0</v>
      </c>
      <c r="AO247" s="1">
        <f>IF(ISNA(VLOOKUP($CZ247,'Audit Values'!$A$2:$AE$439,2,FALSE)),'Preliminary SO66'!X244,VLOOKUP($CZ247,'Audit Values'!$A$2:$AE$439,24,FALSE))</f>
        <v>0</v>
      </c>
      <c r="AP247" s="188">
        <v>347562</v>
      </c>
      <c r="AQ247" s="113">
        <f>AP247/Weightings!$M$5</f>
        <v>90.6</v>
      </c>
      <c r="AR247" s="113">
        <f t="shared" si="267"/>
        <v>628.5</v>
      </c>
      <c r="AS247" s="1">
        <f t="shared" si="268"/>
        <v>719.1</v>
      </c>
      <c r="AT247" s="1">
        <f t="shared" si="269"/>
        <v>719.1</v>
      </c>
      <c r="AU247" s="2">
        <f t="shared" si="283"/>
        <v>0</v>
      </c>
      <c r="AV247" s="82">
        <f>IF(ISNA(VLOOKUP($CZ247,'Audit Values'!$A$2:$AC$360,2,FALSE)),"",IF(AND(Weightings!H247&gt;0,VLOOKUP($CZ247,'Audit Values'!$A$2:$AC$360,29,FALSE)&lt;Weightings!H247),Weightings!H247,VLOOKUP($CZ247,'Audit Values'!$A$2:$AC$360,29,FALSE)))</f>
        <v>26</v>
      </c>
      <c r="AW247" s="82" t="str">
        <f>IF(ISNA(VLOOKUP($CZ247,'Audit Values'!$A$2:$AD$360,2,FALSE)),"",VLOOKUP($CZ247,'Audit Values'!$A$2:$AD$360,30,FALSE))</f>
        <v>A</v>
      </c>
      <c r="AX247" s="82" t="str">
        <f>IF(Weightings!G247="","",IF(Weightings!I247="Pending","PX","R"))</f>
        <v>R</v>
      </c>
      <c r="AY247" s="114">
        <f>AR247*Weightings!$M$5+AU247</f>
        <v>2412183</v>
      </c>
      <c r="AZ247" s="2">
        <f>AT247*Weightings!$M$5+AU247</f>
        <v>2759906</v>
      </c>
      <c r="BA247" s="2">
        <f>IF(Weightings!G247&gt;0,Weightings!G247,'Preliminary SO66'!AB244)</f>
        <v>2760290</v>
      </c>
      <c r="BB247" s="2">
        <f t="shared" si="270"/>
        <v>2759906</v>
      </c>
      <c r="BC247" s="124"/>
      <c r="BD247" s="124">
        <f>Weightings!E247</f>
        <v>0</v>
      </c>
      <c r="BE247" s="124">
        <f>Weightings!F247</f>
        <v>0</v>
      </c>
      <c r="BF247" s="2">
        <f t="shared" si="271"/>
        <v>0</v>
      </c>
      <c r="BG247" s="2">
        <f t="shared" si="272"/>
        <v>2759906</v>
      </c>
      <c r="BH247" s="2">
        <f>MAX(ROUND(((AR247-AO247)*4433)+AP247,0),ROUND(((AR247-AO247)*4433)+Weightings!B247,0))</f>
        <v>3157734</v>
      </c>
      <c r="BI247" s="174">
        <v>0.3</v>
      </c>
      <c r="BJ247" s="2">
        <f t="shared" si="298"/>
        <v>947320</v>
      </c>
      <c r="BK247" s="173">
        <v>926256</v>
      </c>
      <c r="BL247" s="2">
        <f t="shared" si="303"/>
        <v>926256</v>
      </c>
      <c r="BM247" s="3">
        <f t="shared" si="284"/>
        <v>0.29330000000000001</v>
      </c>
      <c r="BN247" s="1">
        <f t="shared" si="273"/>
        <v>0</v>
      </c>
      <c r="BO247" s="4" t="b">
        <f t="shared" si="274"/>
        <v>0</v>
      </c>
      <c r="BP247" s="5">
        <f t="shared" si="275"/>
        <v>0</v>
      </c>
      <c r="BQ247" s="6">
        <f t="shared" ref="BQ247:BQ282" si="306">IF(BO247=TRUE,ROUND(((7337-BP247)/3642.4)-1,6),0)</f>
        <v>0</v>
      </c>
      <c r="BR247" s="4">
        <f t="shared" si="276"/>
        <v>0</v>
      </c>
      <c r="BS247" s="4" t="b">
        <f t="shared" si="277"/>
        <v>1</v>
      </c>
      <c r="BT247" s="4">
        <f t="shared" si="278"/>
        <v>69.3</v>
      </c>
      <c r="BU247" s="6">
        <f t="shared" ref="BU247:BU282" si="307">IF(BS247=TRUE,ROUND(((5406-BT247)/3642.4)-1,6),0)</f>
        <v>0.46516000000000002</v>
      </c>
      <c r="BV247" s="1">
        <f t="shared" si="279"/>
        <v>165.6</v>
      </c>
      <c r="BW247" s="1">
        <f t="shared" si="280"/>
        <v>0</v>
      </c>
      <c r="BX247" s="116">
        <v>140</v>
      </c>
      <c r="BY247" s="7">
        <f t="shared" si="285"/>
        <v>0.76</v>
      </c>
      <c r="BZ247" s="7">
        <f>IF(ROUND((Weightings!$P$5*BY247^Weightings!$P$6*Weightings!$P$8 ),2)&lt;Weightings!$P$7,Weightings!$P$7,ROUND((Weightings!$P$5*BY247^Weightings!$P$6*Weightings!$P$8 ),2))</f>
        <v>1066.99</v>
      </c>
      <c r="CA247" s="8">
        <f>ROUND(BZ247/Weightings!$M$5,4)</f>
        <v>0.27800000000000002</v>
      </c>
      <c r="CB247" s="1">
        <f t="shared" si="286"/>
        <v>29.5</v>
      </c>
      <c r="CC247" s="173">
        <v>0</v>
      </c>
      <c r="CD247" s="173">
        <v>0</v>
      </c>
      <c r="CE247" s="173">
        <v>0</v>
      </c>
      <c r="CF247" s="177">
        <v>0</v>
      </c>
      <c r="CG247" s="2">
        <f>AS247*Weightings!$M$5*CF247</f>
        <v>0</v>
      </c>
      <c r="CH247" s="2">
        <f t="shared" si="305"/>
        <v>0</v>
      </c>
      <c r="CI247" s="117">
        <f t="shared" si="281"/>
        <v>0.39300000000000002</v>
      </c>
      <c r="CJ247" s="4">
        <f t="shared" si="282"/>
        <v>2.5</v>
      </c>
      <c r="CK247" s="1">
        <f t="shared" si="287"/>
        <v>0</v>
      </c>
      <c r="CL247" s="1">
        <f t="shared" si="288"/>
        <v>0</v>
      </c>
      <c r="CM247" s="1">
        <f t="shared" si="289"/>
        <v>4.2</v>
      </c>
      <c r="CN247" s="1">
        <f>IF(ISNA(VLOOKUP($CZ247,'Audit Values'!$A$2:$AE$439,2,FALSE)),'Preliminary SO66'!T244,VLOOKUP($CZ247,'Audit Values'!$A$2:$AE$439,20,FALSE))</f>
        <v>0</v>
      </c>
      <c r="CO247" s="1">
        <f t="shared" si="254"/>
        <v>0</v>
      </c>
      <c r="CP247" s="183">
        <v>0</v>
      </c>
      <c r="CQ247" s="1">
        <f t="shared" si="255"/>
        <v>0</v>
      </c>
      <c r="CR247" s="2">
        <f>IF(ISNA(VLOOKUP($CZ247,'Audit Values'!$A$2:$AE$439,2,FALSE)),'Preliminary SO66'!V244,VLOOKUP($CZ247,'Audit Values'!$A$2:$AE$439,22,FALSE))</f>
        <v>0</v>
      </c>
      <c r="CS247" s="1">
        <f t="shared" si="256"/>
        <v>0</v>
      </c>
      <c r="CT247" s="2">
        <f>IF(ISNA(VLOOKUP($CZ247,'Audit Values'!$A$2:$AE$439,2,FALSE)),'Preliminary SO66'!W244,VLOOKUP($CZ247,'Audit Values'!$A$2:$AE$439,23,FALSE))</f>
        <v>0</v>
      </c>
      <c r="CU247" s="1">
        <f t="shared" si="301"/>
        <v>0</v>
      </c>
      <c r="CV247" s="1">
        <f t="shared" si="302"/>
        <v>0</v>
      </c>
      <c r="CW247" s="176">
        <v>0</v>
      </c>
      <c r="CX247" s="2">
        <f>IF(CW247&gt;0,Weightings!$M$11*AR247,0)</f>
        <v>0</v>
      </c>
      <c r="CY247" s="2">
        <f t="shared" si="290"/>
        <v>0</v>
      </c>
      <c r="CZ247" s="108" t="s">
        <v>539</v>
      </c>
    </row>
    <row r="248" spans="1:104">
      <c r="A248" s="82">
        <v>464</v>
      </c>
      <c r="B248" s="4" t="s">
        <v>13</v>
      </c>
      <c r="C248" s="4" t="s">
        <v>874</v>
      </c>
      <c r="D248" s="1">
        <v>1803.3</v>
      </c>
      <c r="E248" s="1">
        <v>0</v>
      </c>
      <c r="F248" s="1">
        <f t="shared" si="294"/>
        <v>1803.3</v>
      </c>
      <c r="G248" s="1">
        <v>1851.6</v>
      </c>
      <c r="H248" s="1">
        <v>0</v>
      </c>
      <c r="I248" s="1">
        <f t="shared" si="257"/>
        <v>1851.6</v>
      </c>
      <c r="J248" s="1">
        <f t="shared" si="258"/>
        <v>1862.6</v>
      </c>
      <c r="K248" s="1">
        <f>IF(ISNA(VLOOKUP($CZ248,'Audit Values'!$A$2:$AE$439,2,FALSE)),'Preliminary SO66'!B245,VLOOKUP($CZ248,'Audit Values'!$A$2:$AE$439,31,FALSE))</f>
        <v>1861.6</v>
      </c>
      <c r="L248" s="1">
        <f t="shared" si="259"/>
        <v>1861.6</v>
      </c>
      <c r="M248" s="1">
        <f>IF(ISNA(VLOOKUP($CZ248,'Audit Values'!$A$2:$AE$439,2,FALSE)),'Preliminary SO66'!Z245,VLOOKUP($CZ248,'Audit Values'!$A$2:$AE$439,26,FALSE))</f>
        <v>0</v>
      </c>
      <c r="N248" s="1">
        <f t="shared" si="260"/>
        <v>1861.6</v>
      </c>
      <c r="O248" s="1">
        <f>IF(ISNA(VLOOKUP($CZ248,'Audit Values'!$A$2:$AE$439,2,FALSE)),'Preliminary SO66'!C245,IF(VLOOKUP($CZ248,'Audit Values'!$A$2:$AE$439,28,FALSE)="",VLOOKUP($CZ248,'Audit Values'!$A$2:$AE$439,3,FALSE),VLOOKUP($CZ248,'Audit Values'!$A$2:$AE$439,28,FALSE)))</f>
        <v>0</v>
      </c>
      <c r="P248" s="109">
        <f t="shared" si="261"/>
        <v>1861.6</v>
      </c>
      <c r="Q248" s="110">
        <f t="shared" si="262"/>
        <v>1862.6</v>
      </c>
      <c r="R248" s="111">
        <f t="shared" si="263"/>
        <v>1862.6</v>
      </c>
      <c r="S248" s="1">
        <f t="shared" si="264"/>
        <v>1861.6</v>
      </c>
      <c r="T248" s="1">
        <f t="shared" si="293"/>
        <v>1</v>
      </c>
      <c r="U248" s="1">
        <f t="shared" si="265"/>
        <v>65.2</v>
      </c>
      <c r="V248" s="1">
        <f t="shared" ref="V248:V290" si="308">MAX(BN248,BR248,BV248)</f>
        <v>0</v>
      </c>
      <c r="W248" s="1">
        <f t="shared" ref="W248:W290" si="309">BW248</f>
        <v>65.2</v>
      </c>
      <c r="X248" s="1">
        <f>IF(ISNA(VLOOKUP($CZ248,'Audit Values'!$A$2:$AE$439,2,FALSE)),'Preliminary SO66'!D245,VLOOKUP($CZ248,'Audit Values'!$A$2:$AE$439,4,FALSE))</f>
        <v>530.4</v>
      </c>
      <c r="Y248" s="1">
        <f>ROUND((X248/6)*Weightings!$M$6,1)</f>
        <v>44.2</v>
      </c>
      <c r="Z248" s="1">
        <f>IF(ISNA(VLOOKUP($CZ248,'Audit Values'!$A$2:$AE$439,2,FALSE)),'Preliminary SO66'!F245,VLOOKUP($CZ248,'Audit Values'!$A$2:$AE$439,6,FALSE))</f>
        <v>0</v>
      </c>
      <c r="AA248" s="1">
        <f>ROUND((Z248/6)*Weightings!$M$7,1)</f>
        <v>0</v>
      </c>
      <c r="AB248" s="2">
        <f>IF(ISNA(VLOOKUP($CZ248,'Audit Values'!$A$2:$AE$439,2,FALSE)),'Preliminary SO66'!H245,VLOOKUP($CZ248,'Audit Values'!$A$2:$AE$439,8,FALSE))</f>
        <v>504</v>
      </c>
      <c r="AC248" s="1">
        <f>ROUND(AB248*Weightings!$M$8,1)</f>
        <v>229.8</v>
      </c>
      <c r="AD248" s="1">
        <f t="shared" si="304"/>
        <v>0</v>
      </c>
      <c r="AE248" s="185">
        <v>148</v>
      </c>
      <c r="AF248" s="1">
        <f>AE248*Weightings!$M$9</f>
        <v>6.9</v>
      </c>
      <c r="AG248" s="1">
        <f>IF(ISNA(VLOOKUP($CZ248,'Audit Values'!$A$2:$AE$439,2,FALSE)),'Preliminary SO66'!L245,VLOOKUP($CZ248,'Audit Values'!$A$2:$AE$439,12,FALSE))</f>
        <v>0</v>
      </c>
      <c r="AH248" s="1">
        <f>ROUND(AG248*Weightings!$M$10,1)</f>
        <v>0</v>
      </c>
      <c r="AI248" s="1">
        <f>IF(ISNA(VLOOKUP($CZ248,'Audit Values'!$A$2:$AE$439,2,FALSE)),'Preliminary SO66'!O245,VLOOKUP($CZ248,'Audit Values'!$A$2:$AE$439,15,FALSE))</f>
        <v>831.2</v>
      </c>
      <c r="AJ248" s="1">
        <f t="shared" si="266"/>
        <v>145</v>
      </c>
      <c r="AK248" s="1">
        <f>CC248/Weightings!$M$5</f>
        <v>0</v>
      </c>
      <c r="AL248" s="1">
        <f>CD248/Weightings!$M$5</f>
        <v>0</v>
      </c>
      <c r="AM248" s="1">
        <f>CH248/Weightings!$M$5</f>
        <v>0</v>
      </c>
      <c r="AN248" s="1">
        <f t="shared" si="253"/>
        <v>1.1000000000000001</v>
      </c>
      <c r="AO248" s="1">
        <f>IF(ISNA(VLOOKUP($CZ248,'Audit Values'!$A$2:$AE$439,2,FALSE)),'Preliminary SO66'!X245,VLOOKUP($CZ248,'Audit Values'!$A$2:$AE$439,24,FALSE))</f>
        <v>0</v>
      </c>
      <c r="AP248" s="188">
        <v>1640608</v>
      </c>
      <c r="AQ248" s="113">
        <f>AP248/Weightings!$M$5</f>
        <v>427.5</v>
      </c>
      <c r="AR248" s="113">
        <f t="shared" si="267"/>
        <v>2353.8000000000002</v>
      </c>
      <c r="AS248" s="1">
        <f t="shared" si="268"/>
        <v>2781.3</v>
      </c>
      <c r="AT248" s="1">
        <f t="shared" si="269"/>
        <v>2781.3</v>
      </c>
      <c r="AU248" s="189">
        <v>164924</v>
      </c>
      <c r="AV248" s="82">
        <f>IF(ISNA(VLOOKUP($CZ248,'Audit Values'!$A$2:$AC$360,2,FALSE)),"",IF(AND(Weightings!H248&gt;0,VLOOKUP($CZ248,'Audit Values'!$A$2:$AC$360,29,FALSE)&lt;Weightings!H248),Weightings!H248,VLOOKUP($CZ248,'Audit Values'!$A$2:$AC$360,29,FALSE)))</f>
        <v>22</v>
      </c>
      <c r="AW248" s="82" t="str">
        <f>IF(ISNA(VLOOKUP($CZ248,'Audit Values'!$A$2:$AD$360,2,FALSE)),"",VLOOKUP($CZ248,'Audit Values'!$A$2:$AD$360,30,FALSE))</f>
        <v>A</v>
      </c>
      <c r="AX248" s="82" t="str">
        <f>IF(Weightings!G248="","",IF(Weightings!I248="Pending","PX","R"))</f>
        <v/>
      </c>
      <c r="AY248" s="114">
        <f>AR248*Weightings!$M$5+AU248</f>
        <v>9198808</v>
      </c>
      <c r="AZ248" s="2">
        <f>AT248*Weightings!$M$5+AU248</f>
        <v>10839553</v>
      </c>
      <c r="BA248" s="2">
        <f>IF(Weightings!G248&gt;0,Weightings!G248,'Preliminary SO66'!AB245)</f>
        <v>10994311</v>
      </c>
      <c r="BB248" s="2">
        <f t="shared" si="270"/>
        <v>10839553</v>
      </c>
      <c r="BC248" s="124"/>
      <c r="BD248" s="124">
        <f>Weightings!E248</f>
        <v>0</v>
      </c>
      <c r="BE248" s="124">
        <f>Weightings!F248</f>
        <v>0</v>
      </c>
      <c r="BF248" s="2">
        <f t="shared" si="271"/>
        <v>0</v>
      </c>
      <c r="BG248" s="2">
        <f t="shared" si="272"/>
        <v>10839553</v>
      </c>
      <c r="BH248" s="2">
        <f>MAX(ROUND(((AR248-AO248)*4433)+AP248,0),ROUND(((AR248-AO248)*4433)+Weightings!B248,0))</f>
        <v>12075003</v>
      </c>
      <c r="BI248" s="174">
        <v>0.3</v>
      </c>
      <c r="BJ248" s="2">
        <f t="shared" si="298"/>
        <v>3622501</v>
      </c>
      <c r="BK248" s="173">
        <v>3672963</v>
      </c>
      <c r="BL248" s="2">
        <f t="shared" si="303"/>
        <v>3622501</v>
      </c>
      <c r="BM248" s="3">
        <f t="shared" si="284"/>
        <v>0.3</v>
      </c>
      <c r="BN248" s="1">
        <f t="shared" si="273"/>
        <v>0</v>
      </c>
      <c r="BO248" s="4" t="b">
        <f t="shared" si="274"/>
        <v>0</v>
      </c>
      <c r="BP248" s="5">
        <f t="shared" si="275"/>
        <v>0</v>
      </c>
      <c r="BQ248" s="6">
        <f t="shared" si="306"/>
        <v>0</v>
      </c>
      <c r="BR248" s="4">
        <f t="shared" si="276"/>
        <v>0</v>
      </c>
      <c r="BS248" s="4" t="b">
        <f t="shared" si="277"/>
        <v>0</v>
      </c>
      <c r="BT248" s="4">
        <f t="shared" si="278"/>
        <v>0</v>
      </c>
      <c r="BU248" s="6">
        <f t="shared" si="307"/>
        <v>0</v>
      </c>
      <c r="BV248" s="1">
        <f t="shared" si="279"/>
        <v>0</v>
      </c>
      <c r="BW248" s="1">
        <f t="shared" si="280"/>
        <v>65.2</v>
      </c>
      <c r="BX248" s="116">
        <v>142</v>
      </c>
      <c r="BY248" s="7">
        <f t="shared" si="285"/>
        <v>5.85</v>
      </c>
      <c r="BZ248" s="7">
        <f>IF(ROUND((Weightings!$P$5*BY248^Weightings!$P$6*Weightings!$P$8 ),2)&lt;Weightings!$P$7,Weightings!$P$7,ROUND((Weightings!$P$5*BY248^Weightings!$P$6*Weightings!$P$8 ),2))</f>
        <v>669.86</v>
      </c>
      <c r="CA248" s="8">
        <f>ROUND(BZ248/Weightings!$M$5,4)</f>
        <v>0.17449999999999999</v>
      </c>
      <c r="CB248" s="1">
        <f t="shared" si="286"/>
        <v>145</v>
      </c>
      <c r="CC248" s="173">
        <v>0</v>
      </c>
      <c r="CD248" s="173">
        <v>0</v>
      </c>
      <c r="CE248" s="173">
        <v>0</v>
      </c>
      <c r="CF248" s="177">
        <v>5.7999999999999996E-3</v>
      </c>
      <c r="CG248" s="2">
        <f>AS248*Weightings!$M$5*CF248</f>
        <v>61913</v>
      </c>
      <c r="CH248" s="2">
        <f t="shared" si="305"/>
        <v>0</v>
      </c>
      <c r="CI248" s="117">
        <f t="shared" si="281"/>
        <v>0.27100000000000002</v>
      </c>
      <c r="CJ248" s="4">
        <f t="shared" si="282"/>
        <v>13.1</v>
      </c>
      <c r="CK248" s="1">
        <f t="shared" si="287"/>
        <v>0</v>
      </c>
      <c r="CL248" s="1">
        <f t="shared" si="288"/>
        <v>0</v>
      </c>
      <c r="CM248" s="1">
        <f t="shared" si="289"/>
        <v>0</v>
      </c>
      <c r="CN248" s="1">
        <f>IF(ISNA(VLOOKUP($CZ248,'Audit Values'!$A$2:$AE$439,2,FALSE)),'Preliminary SO66'!T245,VLOOKUP($CZ248,'Audit Values'!$A$2:$AE$439,20,FALSE))</f>
        <v>1</v>
      </c>
      <c r="CO248" s="1">
        <f t="shared" si="254"/>
        <v>1.1000000000000001</v>
      </c>
      <c r="CP248" s="183">
        <v>0</v>
      </c>
      <c r="CQ248" s="1">
        <f t="shared" si="255"/>
        <v>0</v>
      </c>
      <c r="CR248" s="2">
        <f>IF(ISNA(VLOOKUP($CZ248,'Audit Values'!$A$2:$AE$439,2,FALSE)),'Preliminary SO66'!V245,VLOOKUP($CZ248,'Audit Values'!$A$2:$AE$439,22,FALSE))</f>
        <v>0</v>
      </c>
      <c r="CS248" s="1">
        <f t="shared" si="256"/>
        <v>0</v>
      </c>
      <c r="CT248" s="2">
        <f>IF(ISNA(VLOOKUP($CZ248,'Audit Values'!$A$2:$AE$439,2,FALSE)),'Preliminary SO66'!W245,VLOOKUP($CZ248,'Audit Values'!$A$2:$AE$439,23,FALSE))</f>
        <v>0</v>
      </c>
      <c r="CU248" s="1">
        <f t="shared" si="301"/>
        <v>0</v>
      </c>
      <c r="CV248" s="1">
        <f t="shared" si="302"/>
        <v>1.1000000000000001</v>
      </c>
      <c r="CW248" s="176">
        <v>170000</v>
      </c>
      <c r="CX248" s="2">
        <f>IF(CW248&gt;0,Weightings!$M$11*AR248,0)</f>
        <v>588450</v>
      </c>
      <c r="CY248" s="2">
        <f t="shared" si="290"/>
        <v>170000</v>
      </c>
      <c r="CZ248" s="108" t="s">
        <v>540</v>
      </c>
    </row>
    <row r="249" spans="1:104">
      <c r="A249" s="82">
        <v>465</v>
      </c>
      <c r="B249" s="4" t="s">
        <v>104</v>
      </c>
      <c r="C249" s="4" t="s">
        <v>875</v>
      </c>
      <c r="D249" s="1">
        <v>2290</v>
      </c>
      <c r="E249" s="1">
        <v>0</v>
      </c>
      <c r="F249" s="1">
        <f t="shared" si="294"/>
        <v>2290</v>
      </c>
      <c r="G249" s="1">
        <v>2287.6999999999998</v>
      </c>
      <c r="H249" s="1">
        <v>0</v>
      </c>
      <c r="I249" s="1">
        <f t="shared" si="257"/>
        <v>2287.6999999999998</v>
      </c>
      <c r="J249" s="1">
        <f t="shared" si="258"/>
        <v>2208.6999999999998</v>
      </c>
      <c r="K249" s="1">
        <f>IF(ISNA(VLOOKUP($CZ249,'Audit Values'!$A$2:$AE$439,2,FALSE)),'Preliminary SO66'!B246,VLOOKUP($CZ249,'Audit Values'!$A$2:$AE$439,31,FALSE))</f>
        <v>2208.6999999999998</v>
      </c>
      <c r="L249" s="1">
        <f t="shared" si="259"/>
        <v>2287.6999999999998</v>
      </c>
      <c r="M249" s="1">
        <f>IF(ISNA(VLOOKUP($CZ249,'Audit Values'!$A$2:$AE$439,2,FALSE)),'Preliminary SO66'!Z246,VLOOKUP($CZ249,'Audit Values'!$A$2:$AE$439,26,FALSE))</f>
        <v>0</v>
      </c>
      <c r="N249" s="1">
        <f t="shared" si="260"/>
        <v>2287.6999999999998</v>
      </c>
      <c r="O249" s="1">
        <f>IF(ISNA(VLOOKUP($CZ249,'Audit Values'!$A$2:$AE$439,2,FALSE)),'Preliminary SO66'!C246,IF(VLOOKUP($CZ249,'Audit Values'!$A$2:$AE$439,28,FALSE)="",VLOOKUP($CZ249,'Audit Values'!$A$2:$AE$439,3,FALSE),VLOOKUP($CZ249,'Audit Values'!$A$2:$AE$439,28,FALSE)))</f>
        <v>15</v>
      </c>
      <c r="P249" s="109">
        <f t="shared" si="261"/>
        <v>2223.6999999999998</v>
      </c>
      <c r="Q249" s="110">
        <f t="shared" si="262"/>
        <v>2223.6999999999998</v>
      </c>
      <c r="R249" s="111">
        <f t="shared" si="263"/>
        <v>2223.6999999999998</v>
      </c>
      <c r="S249" s="1">
        <f t="shared" si="264"/>
        <v>2302.6999999999998</v>
      </c>
      <c r="T249" s="1">
        <f t="shared" si="293"/>
        <v>0</v>
      </c>
      <c r="U249" s="1">
        <f t="shared" si="265"/>
        <v>80.7</v>
      </c>
      <c r="V249" s="1">
        <f t="shared" si="308"/>
        <v>0</v>
      </c>
      <c r="W249" s="1">
        <f t="shared" si="309"/>
        <v>80.7</v>
      </c>
      <c r="X249" s="1">
        <f>IF(ISNA(VLOOKUP($CZ249,'Audit Values'!$A$2:$AE$439,2,FALSE)),'Preliminary SO66'!D246,VLOOKUP($CZ249,'Audit Values'!$A$2:$AE$439,4,FALSE))</f>
        <v>658.1</v>
      </c>
      <c r="Y249" s="1">
        <f>ROUND((X249/6)*Weightings!$M$6,1)</f>
        <v>54.8</v>
      </c>
      <c r="Z249" s="1">
        <f>IF(ISNA(VLOOKUP($CZ249,'Audit Values'!$A$2:$AE$439,2,FALSE)),'Preliminary SO66'!F246,VLOOKUP($CZ249,'Audit Values'!$A$2:$AE$439,6,FALSE))</f>
        <v>143.4</v>
      </c>
      <c r="AA249" s="1">
        <f>ROUND((Z249/6)*Weightings!$M$7,1)</f>
        <v>9.4</v>
      </c>
      <c r="AB249" s="2">
        <f>IF(ISNA(VLOOKUP($CZ249,'Audit Values'!$A$2:$AE$439,2,FALSE)),'Preliminary SO66'!H246,VLOOKUP($CZ249,'Audit Values'!$A$2:$AE$439,8,FALSE))</f>
        <v>1128</v>
      </c>
      <c r="AC249" s="1">
        <f>ROUND(AB249*Weightings!$M$8,1)</f>
        <v>514.4</v>
      </c>
      <c r="AD249" s="1">
        <f t="shared" si="304"/>
        <v>110.5</v>
      </c>
      <c r="AE249" s="185">
        <v>121</v>
      </c>
      <c r="AF249" s="1">
        <f>AE249*Weightings!$M$9</f>
        <v>5.6</v>
      </c>
      <c r="AG249" s="1">
        <f>IF(ISNA(VLOOKUP($CZ249,'Audit Values'!$A$2:$AE$439,2,FALSE)),'Preliminary SO66'!L246,VLOOKUP($CZ249,'Audit Values'!$A$2:$AE$439,12,FALSE))</f>
        <v>0</v>
      </c>
      <c r="AH249" s="1">
        <f>ROUND(AG249*Weightings!$M$10,1)</f>
        <v>0</v>
      </c>
      <c r="AI249" s="1">
        <f>IF(ISNA(VLOOKUP($CZ249,'Audit Values'!$A$2:$AE$439,2,FALSE)),'Preliminary SO66'!O246,VLOOKUP($CZ249,'Audit Values'!$A$2:$AE$439,15,FALSE))</f>
        <v>575.5</v>
      </c>
      <c r="AJ249" s="1">
        <f t="shared" si="266"/>
        <v>125.6</v>
      </c>
      <c r="AK249" s="1">
        <f>CC249/Weightings!$M$5</f>
        <v>0</v>
      </c>
      <c r="AL249" s="1">
        <f>CD249/Weightings!$M$5</f>
        <v>0</v>
      </c>
      <c r="AM249" s="1">
        <f>CH249/Weightings!$M$5</f>
        <v>0</v>
      </c>
      <c r="AN249" s="1">
        <f t="shared" si="253"/>
        <v>0</v>
      </c>
      <c r="AO249" s="1">
        <f>IF(ISNA(VLOOKUP($CZ249,'Audit Values'!$A$2:$AE$439,2,FALSE)),'Preliminary SO66'!X246,VLOOKUP($CZ249,'Audit Values'!$A$2:$AE$439,24,FALSE))</f>
        <v>0</v>
      </c>
      <c r="AP249" s="188">
        <v>2280709</v>
      </c>
      <c r="AQ249" s="113">
        <f>AP249/Weightings!$M$5</f>
        <v>594.20000000000005</v>
      </c>
      <c r="AR249" s="113">
        <f t="shared" si="267"/>
        <v>3203.7</v>
      </c>
      <c r="AS249" s="1">
        <f t="shared" si="268"/>
        <v>3797.9</v>
      </c>
      <c r="AT249" s="1">
        <f t="shared" si="269"/>
        <v>3797.9</v>
      </c>
      <c r="AU249" s="2">
        <f t="shared" si="283"/>
        <v>0</v>
      </c>
      <c r="AV249" s="82">
        <f>IF(ISNA(VLOOKUP($CZ249,'Audit Values'!$A$2:$AC$360,2,FALSE)),"",IF(AND(Weightings!H249&gt;0,VLOOKUP($CZ249,'Audit Values'!$A$2:$AC$360,29,FALSE)&lt;Weightings!H249),Weightings!H249,VLOOKUP($CZ249,'Audit Values'!$A$2:$AC$360,29,FALSE)))</f>
        <v>24</v>
      </c>
      <c r="AW249" s="82" t="str">
        <f>IF(ISNA(VLOOKUP($CZ249,'Audit Values'!$A$2:$AD$360,2,FALSE)),"",VLOOKUP($CZ249,'Audit Values'!$A$2:$AD$360,30,FALSE))</f>
        <v>A</v>
      </c>
      <c r="AX249" s="82" t="str">
        <f>IF(Weightings!G249="","",IF(Weightings!I249="Pending","PX","R"))</f>
        <v/>
      </c>
      <c r="AY249" s="114">
        <f>AR249*Weightings!$M$5+AU249</f>
        <v>12295801</v>
      </c>
      <c r="AZ249" s="2">
        <f>AT249*Weightings!$M$5+AU249</f>
        <v>14576340</v>
      </c>
      <c r="BA249" s="2">
        <f>IF(Weightings!G249&gt;0,Weightings!G249,'Preliminary SO66'!AB246)</f>
        <v>14991996</v>
      </c>
      <c r="BB249" s="2">
        <f t="shared" si="270"/>
        <v>14576340</v>
      </c>
      <c r="BC249" s="124"/>
      <c r="BD249" s="124">
        <f>Weightings!E249</f>
        <v>-830</v>
      </c>
      <c r="BE249" s="124">
        <f>Weightings!F249</f>
        <v>0</v>
      </c>
      <c r="BF249" s="2">
        <f t="shared" si="271"/>
        <v>-830</v>
      </c>
      <c r="BG249" s="2">
        <f t="shared" si="272"/>
        <v>14575510</v>
      </c>
      <c r="BH249" s="2">
        <f>MAX(ROUND(((AR249-AO249)*4433)+AP249,0),ROUND(((AR249-AO249)*4433)+Weightings!B249,0))</f>
        <v>16482711</v>
      </c>
      <c r="BI249" s="174">
        <v>0.3</v>
      </c>
      <c r="BJ249" s="2">
        <f t="shared" si="298"/>
        <v>4944813</v>
      </c>
      <c r="BK249" s="173">
        <v>5083390</v>
      </c>
      <c r="BL249" s="2">
        <f t="shared" si="303"/>
        <v>4944813</v>
      </c>
      <c r="BM249" s="3">
        <f t="shared" si="284"/>
        <v>0.3</v>
      </c>
      <c r="BN249" s="1">
        <f t="shared" si="273"/>
        <v>0</v>
      </c>
      <c r="BO249" s="4" t="b">
        <f t="shared" si="274"/>
        <v>0</v>
      </c>
      <c r="BP249" s="5">
        <f t="shared" si="275"/>
        <v>0</v>
      </c>
      <c r="BQ249" s="6">
        <f t="shared" si="306"/>
        <v>0</v>
      </c>
      <c r="BR249" s="4">
        <f t="shared" si="276"/>
        <v>0</v>
      </c>
      <c r="BS249" s="4" t="b">
        <f t="shared" si="277"/>
        <v>0</v>
      </c>
      <c r="BT249" s="4">
        <f t="shared" si="278"/>
        <v>0</v>
      </c>
      <c r="BU249" s="6">
        <f t="shared" si="307"/>
        <v>0</v>
      </c>
      <c r="BV249" s="1">
        <f t="shared" si="279"/>
        <v>0</v>
      </c>
      <c r="BW249" s="1">
        <f t="shared" si="280"/>
        <v>80.7</v>
      </c>
      <c r="BX249" s="116">
        <v>262</v>
      </c>
      <c r="BY249" s="7">
        <f t="shared" si="285"/>
        <v>2.2000000000000002</v>
      </c>
      <c r="BZ249" s="7">
        <f>IF(ROUND((Weightings!$P$5*BY249^Weightings!$P$6*Weightings!$P$8 ),2)&lt;Weightings!$P$7,Weightings!$P$7,ROUND((Weightings!$P$5*BY249^Weightings!$P$6*Weightings!$P$8 ),2))</f>
        <v>837.27</v>
      </c>
      <c r="CA249" s="8">
        <f>ROUND(BZ249/Weightings!$M$5,4)</f>
        <v>0.21820000000000001</v>
      </c>
      <c r="CB249" s="1">
        <f t="shared" si="286"/>
        <v>125.6</v>
      </c>
      <c r="CC249" s="173">
        <v>0</v>
      </c>
      <c r="CD249" s="173">
        <v>0</v>
      </c>
      <c r="CE249" s="173">
        <v>0</v>
      </c>
      <c r="CF249" s="177">
        <v>0</v>
      </c>
      <c r="CG249" s="2">
        <f>AS249*Weightings!$M$5*CF249</f>
        <v>0</v>
      </c>
      <c r="CH249" s="2">
        <f t="shared" si="305"/>
        <v>0</v>
      </c>
      <c r="CI249" s="117">
        <f t="shared" si="281"/>
        <v>0.49</v>
      </c>
      <c r="CJ249" s="4">
        <f t="shared" si="282"/>
        <v>8.8000000000000007</v>
      </c>
      <c r="CK249" s="1">
        <f t="shared" si="287"/>
        <v>0</v>
      </c>
      <c r="CL249" s="1">
        <f t="shared" si="288"/>
        <v>0</v>
      </c>
      <c r="CM249" s="1">
        <f t="shared" si="289"/>
        <v>110.5</v>
      </c>
      <c r="CN249" s="1">
        <f>IF(ISNA(VLOOKUP($CZ249,'Audit Values'!$A$2:$AE$439,2,FALSE)),'Preliminary SO66'!T246,VLOOKUP($CZ249,'Audit Values'!$A$2:$AE$439,20,FALSE))</f>
        <v>0</v>
      </c>
      <c r="CO249" s="1">
        <f t="shared" si="254"/>
        <v>0</v>
      </c>
      <c r="CP249" s="183">
        <v>0</v>
      </c>
      <c r="CQ249" s="1">
        <f t="shared" si="255"/>
        <v>0</v>
      </c>
      <c r="CR249" s="2">
        <f>IF(ISNA(VLOOKUP($CZ249,'Audit Values'!$A$2:$AE$439,2,FALSE)),'Preliminary SO66'!V246,VLOOKUP($CZ249,'Audit Values'!$A$2:$AE$439,22,FALSE))</f>
        <v>0</v>
      </c>
      <c r="CS249" s="1">
        <f t="shared" si="256"/>
        <v>0</v>
      </c>
      <c r="CT249" s="2">
        <f>IF(ISNA(VLOOKUP($CZ249,'Audit Values'!$A$2:$AE$439,2,FALSE)),'Preliminary SO66'!W246,VLOOKUP($CZ249,'Audit Values'!$A$2:$AE$439,23,FALSE))</f>
        <v>0</v>
      </c>
      <c r="CU249" s="1">
        <f t="shared" si="301"/>
        <v>0</v>
      </c>
      <c r="CV249" s="1">
        <f t="shared" si="302"/>
        <v>0</v>
      </c>
      <c r="CW249" s="176">
        <v>0</v>
      </c>
      <c r="CX249" s="2">
        <f>IF(CW249&gt;0,Weightings!$M$11*AR249,0)</f>
        <v>0</v>
      </c>
      <c r="CY249" s="2">
        <f t="shared" si="290"/>
        <v>0</v>
      </c>
      <c r="CZ249" s="108" t="s">
        <v>541</v>
      </c>
    </row>
    <row r="250" spans="1:104">
      <c r="A250" s="82">
        <v>466</v>
      </c>
      <c r="B250" s="4" t="s">
        <v>105</v>
      </c>
      <c r="C250" s="4" t="s">
        <v>876</v>
      </c>
      <c r="D250" s="1">
        <v>825.6</v>
      </c>
      <c r="E250" s="1">
        <v>0</v>
      </c>
      <c r="F250" s="1">
        <f t="shared" si="294"/>
        <v>825.6</v>
      </c>
      <c r="G250" s="1">
        <v>853.4</v>
      </c>
      <c r="H250" s="1">
        <v>0</v>
      </c>
      <c r="I250" s="1">
        <f t="shared" si="257"/>
        <v>853.4</v>
      </c>
      <c r="J250" s="1">
        <f t="shared" si="258"/>
        <v>880.5</v>
      </c>
      <c r="K250" s="1">
        <f>IF(ISNA(VLOOKUP($CZ250,'Audit Values'!$A$2:$AE$439,2,FALSE)),'Preliminary SO66'!B247,VLOOKUP($CZ250,'Audit Values'!$A$2:$AE$439,31,FALSE))</f>
        <v>871.5</v>
      </c>
      <c r="L250" s="1">
        <f t="shared" si="259"/>
        <v>871.5</v>
      </c>
      <c r="M250" s="1">
        <f>IF(ISNA(VLOOKUP($CZ250,'Audit Values'!$A$2:$AE$439,2,FALSE)),'Preliminary SO66'!Z247,VLOOKUP($CZ250,'Audit Values'!$A$2:$AE$439,26,FALSE))</f>
        <v>0</v>
      </c>
      <c r="N250" s="1">
        <f t="shared" si="260"/>
        <v>871.5</v>
      </c>
      <c r="O250" s="1">
        <f>IF(ISNA(VLOOKUP($CZ250,'Audit Values'!$A$2:$AE$439,2,FALSE)),'Preliminary SO66'!C247,IF(VLOOKUP($CZ250,'Audit Values'!$A$2:$AE$439,28,FALSE)="",VLOOKUP($CZ250,'Audit Values'!$A$2:$AE$439,3,FALSE),VLOOKUP($CZ250,'Audit Values'!$A$2:$AE$439,28,FALSE)))</f>
        <v>14.5</v>
      </c>
      <c r="P250" s="109">
        <f t="shared" si="261"/>
        <v>886</v>
      </c>
      <c r="Q250" s="110">
        <f t="shared" si="262"/>
        <v>895</v>
      </c>
      <c r="R250" s="111">
        <f t="shared" si="263"/>
        <v>895</v>
      </c>
      <c r="S250" s="1">
        <f t="shared" si="264"/>
        <v>886</v>
      </c>
      <c r="T250" s="1">
        <f t="shared" si="293"/>
        <v>9</v>
      </c>
      <c r="U250" s="1">
        <f t="shared" si="265"/>
        <v>252.6</v>
      </c>
      <c r="V250" s="1">
        <f t="shared" si="308"/>
        <v>252.6</v>
      </c>
      <c r="W250" s="1">
        <f t="shared" si="309"/>
        <v>0</v>
      </c>
      <c r="X250" s="1">
        <f>IF(ISNA(VLOOKUP($CZ250,'Audit Values'!$A$2:$AE$439,2,FALSE)),'Preliminary SO66'!D247,VLOOKUP($CZ250,'Audit Values'!$A$2:$AE$439,4,FALSE))</f>
        <v>81.599999999999994</v>
      </c>
      <c r="Y250" s="1">
        <f>ROUND((X250/6)*Weightings!$M$6,1)</f>
        <v>6.8</v>
      </c>
      <c r="Z250" s="1">
        <f>IF(ISNA(VLOOKUP($CZ250,'Audit Values'!$A$2:$AE$439,2,FALSE)),'Preliminary SO66'!F247,VLOOKUP($CZ250,'Audit Values'!$A$2:$AE$439,6,FALSE))</f>
        <v>554</v>
      </c>
      <c r="AA250" s="1">
        <f>ROUND((Z250/6)*Weightings!$M$7,1)</f>
        <v>36.5</v>
      </c>
      <c r="AB250" s="2">
        <f>IF(ISNA(VLOOKUP($CZ250,'Audit Values'!$A$2:$AE$439,2,FALSE)),'Preliminary SO66'!H247,VLOOKUP($CZ250,'Audit Values'!$A$2:$AE$439,8,FALSE))</f>
        <v>351</v>
      </c>
      <c r="AC250" s="1">
        <f>ROUND(AB250*Weightings!$M$8,1)</f>
        <v>160.1</v>
      </c>
      <c r="AD250" s="1">
        <f t="shared" si="304"/>
        <v>11.3</v>
      </c>
      <c r="AE250" s="185">
        <v>50</v>
      </c>
      <c r="AF250" s="1">
        <f>AE250*Weightings!$M$9</f>
        <v>2.2999999999999998</v>
      </c>
      <c r="AG250" s="1">
        <f>IF(ISNA(VLOOKUP($CZ250,'Audit Values'!$A$2:$AE$439,2,FALSE)),'Preliminary SO66'!L247,VLOOKUP($CZ250,'Audit Values'!$A$2:$AE$439,12,FALSE))</f>
        <v>0</v>
      </c>
      <c r="AH250" s="1">
        <f>ROUND(AG250*Weightings!$M$10,1)</f>
        <v>0</v>
      </c>
      <c r="AI250" s="1">
        <f>IF(ISNA(VLOOKUP($CZ250,'Audit Values'!$A$2:$AE$439,2,FALSE)),'Preliminary SO66'!O247,VLOOKUP($CZ250,'Audit Values'!$A$2:$AE$439,15,FALSE))</f>
        <v>143</v>
      </c>
      <c r="AJ250" s="1">
        <f t="shared" si="266"/>
        <v>54.5</v>
      </c>
      <c r="AK250" s="1">
        <f>CC250/Weightings!$M$5</f>
        <v>0</v>
      </c>
      <c r="AL250" s="1">
        <f>CD250/Weightings!$M$5</f>
        <v>0</v>
      </c>
      <c r="AM250" s="1">
        <f>CH250/Weightings!$M$5</f>
        <v>0</v>
      </c>
      <c r="AN250" s="1">
        <f t="shared" si="253"/>
        <v>9.5</v>
      </c>
      <c r="AO250" s="1">
        <f>IF(ISNA(VLOOKUP($CZ250,'Audit Values'!$A$2:$AE$439,2,FALSE)),'Preliminary SO66'!X247,VLOOKUP($CZ250,'Audit Values'!$A$2:$AE$439,24,FALSE))</f>
        <v>0</v>
      </c>
      <c r="AP250" s="188">
        <v>490438</v>
      </c>
      <c r="AQ250" s="113">
        <f>AP250/Weightings!$M$5</f>
        <v>127.8</v>
      </c>
      <c r="AR250" s="113">
        <f t="shared" si="267"/>
        <v>1419.6</v>
      </c>
      <c r="AS250" s="1">
        <f t="shared" si="268"/>
        <v>1547.4</v>
      </c>
      <c r="AT250" s="1">
        <f t="shared" si="269"/>
        <v>1547.4</v>
      </c>
      <c r="AU250" s="2">
        <f t="shared" si="283"/>
        <v>0</v>
      </c>
      <c r="AV250" s="82">
        <f>IF(ISNA(VLOOKUP($CZ250,'Audit Values'!$A$2:$AC$360,2,FALSE)),"",IF(AND(Weightings!H250&gt;0,VLOOKUP($CZ250,'Audit Values'!$A$2:$AC$360,29,FALSE)&lt;Weightings!H250),Weightings!H250,VLOOKUP($CZ250,'Audit Values'!$A$2:$AC$360,29,FALSE)))</f>
        <v>21</v>
      </c>
      <c r="AW250" s="82" t="str">
        <f>IF(ISNA(VLOOKUP($CZ250,'Audit Values'!$A$2:$AD$360,2,FALSE)),"",VLOOKUP($CZ250,'Audit Values'!$A$2:$AD$360,30,FALSE))</f>
        <v>A</v>
      </c>
      <c r="AX250" s="82" t="str">
        <f>IF(Weightings!G250="","",IF(Weightings!I250="Pending","PX","R"))</f>
        <v/>
      </c>
      <c r="AY250" s="114">
        <f>AR250*Weightings!$M$5+AU250</f>
        <v>5448425</v>
      </c>
      <c r="AZ250" s="2">
        <f>AT250*Weightings!$M$5+AU250</f>
        <v>5938921</v>
      </c>
      <c r="BA250" s="2">
        <f>IF(Weightings!G250&gt;0,Weightings!G250,'Preliminary SO66'!AB247)</f>
        <v>6171888</v>
      </c>
      <c r="BB250" s="2">
        <f t="shared" si="270"/>
        <v>5938921</v>
      </c>
      <c r="BC250" s="124"/>
      <c r="BD250" s="124">
        <f>Weightings!E250</f>
        <v>0</v>
      </c>
      <c r="BE250" s="124">
        <f>Weightings!F250</f>
        <v>0</v>
      </c>
      <c r="BF250" s="2">
        <f t="shared" si="271"/>
        <v>0</v>
      </c>
      <c r="BG250" s="2">
        <f t="shared" si="272"/>
        <v>5938921</v>
      </c>
      <c r="BH250" s="2">
        <f>MAX(ROUND(((AR250-AO250)*4433)+AP250,0),ROUND(((AR250-AO250)*4433)+Weightings!B250,0))</f>
        <v>6828516</v>
      </c>
      <c r="BI250" s="174">
        <v>0.3</v>
      </c>
      <c r="BJ250" s="2">
        <f t="shared" si="298"/>
        <v>2048555</v>
      </c>
      <c r="BK250" s="173">
        <v>2130743</v>
      </c>
      <c r="BL250" s="2">
        <f t="shared" si="303"/>
        <v>2048555</v>
      </c>
      <c r="BM250" s="3">
        <f t="shared" si="284"/>
        <v>0.3</v>
      </c>
      <c r="BN250" s="1">
        <f t="shared" si="273"/>
        <v>0</v>
      </c>
      <c r="BO250" s="4" t="b">
        <f t="shared" si="274"/>
        <v>0</v>
      </c>
      <c r="BP250" s="5">
        <f t="shared" si="275"/>
        <v>0</v>
      </c>
      <c r="BQ250" s="6">
        <f t="shared" si="306"/>
        <v>0</v>
      </c>
      <c r="BR250" s="4">
        <f t="shared" si="276"/>
        <v>0</v>
      </c>
      <c r="BS250" s="4" t="b">
        <f t="shared" si="277"/>
        <v>1</v>
      </c>
      <c r="BT250" s="4">
        <f t="shared" si="278"/>
        <v>725.17499999999995</v>
      </c>
      <c r="BU250" s="6">
        <f t="shared" si="307"/>
        <v>0.28509400000000001</v>
      </c>
      <c r="BV250" s="1">
        <f t="shared" si="279"/>
        <v>252.6</v>
      </c>
      <c r="BW250" s="1">
        <f t="shared" si="280"/>
        <v>0</v>
      </c>
      <c r="BX250" s="116">
        <v>756</v>
      </c>
      <c r="BY250" s="7">
        <f t="shared" si="285"/>
        <v>0.19</v>
      </c>
      <c r="BZ250" s="7">
        <f>IF(ROUND((Weightings!$P$5*BY250^Weightings!$P$6*Weightings!$P$8 ),2)&lt;Weightings!$P$7,Weightings!$P$7,ROUND((Weightings!$P$5*BY250^Weightings!$P$6*Weightings!$P$8 ),2))</f>
        <v>1463.83</v>
      </c>
      <c r="CA250" s="8">
        <f>ROUND(BZ250/Weightings!$M$5,4)</f>
        <v>0.38140000000000002</v>
      </c>
      <c r="CB250" s="1">
        <f t="shared" si="286"/>
        <v>54.5</v>
      </c>
      <c r="CC250" s="173">
        <v>0</v>
      </c>
      <c r="CD250" s="173">
        <v>0</v>
      </c>
      <c r="CE250" s="173">
        <v>0</v>
      </c>
      <c r="CF250" s="177">
        <v>0</v>
      </c>
      <c r="CG250" s="2">
        <f>AS250*Weightings!$M$5*CF250</f>
        <v>0</v>
      </c>
      <c r="CH250" s="2">
        <f t="shared" si="305"/>
        <v>0</v>
      </c>
      <c r="CI250" s="117">
        <f t="shared" si="281"/>
        <v>0.39600000000000002</v>
      </c>
      <c r="CJ250" s="4">
        <f t="shared" si="282"/>
        <v>1.2</v>
      </c>
      <c r="CK250" s="1">
        <f t="shared" si="287"/>
        <v>0</v>
      </c>
      <c r="CL250" s="1">
        <f t="shared" si="288"/>
        <v>0</v>
      </c>
      <c r="CM250" s="1">
        <f t="shared" si="289"/>
        <v>11.3</v>
      </c>
      <c r="CN250" s="1">
        <f>IF(ISNA(VLOOKUP($CZ250,'Audit Values'!$A$2:$AE$439,2,FALSE)),'Preliminary SO66'!T247,VLOOKUP($CZ250,'Audit Values'!$A$2:$AE$439,20,FALSE))</f>
        <v>9</v>
      </c>
      <c r="CO250" s="1">
        <f t="shared" si="254"/>
        <v>9.5</v>
      </c>
      <c r="CP250" s="183">
        <v>0</v>
      </c>
      <c r="CQ250" s="1">
        <f t="shared" si="255"/>
        <v>0</v>
      </c>
      <c r="CR250" s="2">
        <f>IF(ISNA(VLOOKUP($CZ250,'Audit Values'!$A$2:$AE$439,2,FALSE)),'Preliminary SO66'!V247,VLOOKUP($CZ250,'Audit Values'!$A$2:$AE$439,22,FALSE))</f>
        <v>0</v>
      </c>
      <c r="CS250" s="1">
        <f t="shared" si="256"/>
        <v>0</v>
      </c>
      <c r="CT250" s="2">
        <f>IF(ISNA(VLOOKUP($CZ250,'Audit Values'!$A$2:$AE$439,2,FALSE)),'Preliminary SO66'!W247,VLOOKUP($CZ250,'Audit Values'!$A$2:$AE$439,23,FALSE))</f>
        <v>0</v>
      </c>
      <c r="CU250" s="1">
        <f t="shared" si="301"/>
        <v>0</v>
      </c>
      <c r="CV250" s="1">
        <f t="shared" si="302"/>
        <v>9.5</v>
      </c>
      <c r="CW250" s="176">
        <v>0</v>
      </c>
      <c r="CX250" s="2">
        <f>IF(CW250&gt;0,Weightings!$M$11*AR250,0)</f>
        <v>0</v>
      </c>
      <c r="CY250" s="2">
        <f t="shared" si="290"/>
        <v>0</v>
      </c>
      <c r="CZ250" s="108" t="s">
        <v>542</v>
      </c>
    </row>
    <row r="251" spans="1:104">
      <c r="A251" s="82">
        <v>467</v>
      </c>
      <c r="B251" s="4" t="s">
        <v>36</v>
      </c>
      <c r="C251" s="4" t="s">
        <v>877</v>
      </c>
      <c r="D251" s="1">
        <v>399.1</v>
      </c>
      <c r="E251" s="1">
        <v>0</v>
      </c>
      <c r="F251" s="1">
        <f t="shared" si="294"/>
        <v>399.1</v>
      </c>
      <c r="G251" s="1">
        <v>378</v>
      </c>
      <c r="H251" s="1">
        <v>0</v>
      </c>
      <c r="I251" s="1">
        <f t="shared" si="257"/>
        <v>378</v>
      </c>
      <c r="J251" s="1">
        <f t="shared" si="258"/>
        <v>391</v>
      </c>
      <c r="K251" s="1">
        <f>IF(ISNA(VLOOKUP($CZ251,'Audit Values'!$A$2:$AE$439,2,FALSE)),'Preliminary SO66'!B248,VLOOKUP($CZ251,'Audit Values'!$A$2:$AE$439,31,FALSE))</f>
        <v>391</v>
      </c>
      <c r="L251" s="1">
        <f t="shared" si="259"/>
        <v>391</v>
      </c>
      <c r="M251" s="1">
        <f>IF(ISNA(VLOOKUP($CZ251,'Audit Values'!$A$2:$AE$439,2,FALSE)),'Preliminary SO66'!Z248,VLOOKUP($CZ251,'Audit Values'!$A$2:$AE$439,26,FALSE))</f>
        <v>0</v>
      </c>
      <c r="N251" s="1">
        <f t="shared" si="260"/>
        <v>391</v>
      </c>
      <c r="O251" s="1">
        <f>IF(ISNA(VLOOKUP($CZ251,'Audit Values'!$A$2:$AE$439,2,FALSE)),'Preliminary SO66'!C248,IF(VLOOKUP($CZ251,'Audit Values'!$A$2:$AE$439,28,FALSE)="",VLOOKUP($CZ251,'Audit Values'!$A$2:$AE$439,3,FALSE),VLOOKUP($CZ251,'Audit Values'!$A$2:$AE$439,28,FALSE)))</f>
        <v>8</v>
      </c>
      <c r="P251" s="109">
        <f t="shared" si="261"/>
        <v>399</v>
      </c>
      <c r="Q251" s="110">
        <f t="shared" si="262"/>
        <v>399</v>
      </c>
      <c r="R251" s="111">
        <f t="shared" si="263"/>
        <v>399</v>
      </c>
      <c r="S251" s="1">
        <f t="shared" si="264"/>
        <v>399</v>
      </c>
      <c r="T251" s="1">
        <f t="shared" si="293"/>
        <v>0</v>
      </c>
      <c r="U251" s="1">
        <f t="shared" si="265"/>
        <v>179.8</v>
      </c>
      <c r="V251" s="1">
        <f t="shared" si="308"/>
        <v>179.8</v>
      </c>
      <c r="W251" s="1">
        <f t="shared" si="309"/>
        <v>0</v>
      </c>
      <c r="X251" s="1">
        <f>IF(ISNA(VLOOKUP($CZ251,'Audit Values'!$A$2:$AE$439,2,FALSE)),'Preliminary SO66'!D248,VLOOKUP($CZ251,'Audit Values'!$A$2:$AE$439,4,FALSE))</f>
        <v>91.3</v>
      </c>
      <c r="Y251" s="1">
        <f>ROUND((X251/6)*Weightings!$M$6,1)</f>
        <v>7.6</v>
      </c>
      <c r="Z251" s="1">
        <f>IF(ISNA(VLOOKUP($CZ251,'Audit Values'!$A$2:$AE$439,2,FALSE)),'Preliminary SO66'!F248,VLOOKUP($CZ251,'Audit Values'!$A$2:$AE$439,6,FALSE))</f>
        <v>727.5</v>
      </c>
      <c r="AA251" s="1">
        <f>ROUND((Z251/6)*Weightings!$M$7,1)</f>
        <v>47.9</v>
      </c>
      <c r="AB251" s="2">
        <f>IF(ISNA(VLOOKUP($CZ251,'Audit Values'!$A$2:$AE$439,2,FALSE)),'Preliminary SO66'!H248,VLOOKUP($CZ251,'Audit Values'!$A$2:$AE$439,8,FALSE))</f>
        <v>187</v>
      </c>
      <c r="AC251" s="1">
        <f>ROUND(AB251*Weightings!$M$8,1)</f>
        <v>85.3</v>
      </c>
      <c r="AD251" s="1">
        <f t="shared" si="304"/>
        <v>15.6</v>
      </c>
      <c r="AE251" s="185">
        <v>24</v>
      </c>
      <c r="AF251" s="1">
        <f>AE251*Weightings!$M$9</f>
        <v>1.1000000000000001</v>
      </c>
      <c r="AG251" s="1">
        <f>IF(ISNA(VLOOKUP($CZ251,'Audit Values'!$A$2:$AE$439,2,FALSE)),'Preliminary SO66'!L248,VLOOKUP($CZ251,'Audit Values'!$A$2:$AE$439,12,FALSE))</f>
        <v>0</v>
      </c>
      <c r="AH251" s="1">
        <f>ROUND(AG251*Weightings!$M$10,1)</f>
        <v>0</v>
      </c>
      <c r="AI251" s="1">
        <f>IF(ISNA(VLOOKUP($CZ251,'Audit Values'!$A$2:$AE$439,2,FALSE)),'Preliminary SO66'!O248,VLOOKUP($CZ251,'Audit Values'!$A$2:$AE$439,15,FALSE))</f>
        <v>79</v>
      </c>
      <c r="AJ251" s="1">
        <f t="shared" si="266"/>
        <v>34.9</v>
      </c>
      <c r="AK251" s="1">
        <f>CC251/Weightings!$M$5</f>
        <v>0</v>
      </c>
      <c r="AL251" s="1">
        <f>CD251/Weightings!$M$5</f>
        <v>0</v>
      </c>
      <c r="AM251" s="1">
        <f>CH251/Weightings!$M$5</f>
        <v>0</v>
      </c>
      <c r="AN251" s="1">
        <f t="shared" si="253"/>
        <v>0</v>
      </c>
      <c r="AO251" s="1">
        <f>IF(ISNA(VLOOKUP($CZ251,'Audit Values'!$A$2:$AE$439,2,FALSE)),'Preliminary SO66'!X248,VLOOKUP($CZ251,'Audit Values'!$A$2:$AE$439,24,FALSE))</f>
        <v>0</v>
      </c>
      <c r="AP251" s="188">
        <v>227325.99999999997</v>
      </c>
      <c r="AQ251" s="113">
        <f>AP251/Weightings!$M$5</f>
        <v>59.2</v>
      </c>
      <c r="AR251" s="113">
        <f t="shared" si="267"/>
        <v>771.2</v>
      </c>
      <c r="AS251" s="1">
        <f t="shared" si="268"/>
        <v>830.4</v>
      </c>
      <c r="AT251" s="1">
        <f t="shared" si="269"/>
        <v>830.4</v>
      </c>
      <c r="AU251" s="2">
        <f t="shared" si="283"/>
        <v>0</v>
      </c>
      <c r="AV251" s="82">
        <f>IF(ISNA(VLOOKUP($CZ251,'Audit Values'!$A$2:$AC$360,2,FALSE)),"",IF(AND(Weightings!H251&gt;0,VLOOKUP($CZ251,'Audit Values'!$A$2:$AC$360,29,FALSE)&lt;Weightings!H251),Weightings!H251,VLOOKUP($CZ251,'Audit Values'!$A$2:$AC$360,29,FALSE)))</f>
        <v>25</v>
      </c>
      <c r="AW251" s="82" t="str">
        <f>IF(ISNA(VLOOKUP($CZ251,'Audit Values'!$A$2:$AD$360,2,FALSE)),"",VLOOKUP($CZ251,'Audit Values'!$A$2:$AD$360,30,FALSE))</f>
        <v>A</v>
      </c>
      <c r="AX251" s="82" t="str">
        <f>IF(Weightings!G251="","",IF(Weightings!I251="Pending","PX","R"))</f>
        <v>R</v>
      </c>
      <c r="AY251" s="114">
        <f>AR251*Weightings!$M$5+AU251</f>
        <v>2959866</v>
      </c>
      <c r="AZ251" s="2">
        <f>AT251*Weightings!$M$5+AU251</f>
        <v>3187075</v>
      </c>
      <c r="BA251" s="2">
        <f>IF(Weightings!G251&gt;0,Weightings!G251,'Preliminary SO66'!AB248)</f>
        <v>3211255</v>
      </c>
      <c r="BB251" s="2">
        <f t="shared" si="270"/>
        <v>3187075</v>
      </c>
      <c r="BC251" s="124"/>
      <c r="BD251" s="124">
        <f>Weightings!E251</f>
        <v>0</v>
      </c>
      <c r="BE251" s="124">
        <f>Weightings!F251</f>
        <v>0</v>
      </c>
      <c r="BF251" s="2">
        <f t="shared" si="271"/>
        <v>0</v>
      </c>
      <c r="BG251" s="2">
        <f t="shared" si="272"/>
        <v>3187075</v>
      </c>
      <c r="BH251" s="2">
        <f>MAX(ROUND(((AR251-AO251)*4433)+AP251,0),ROUND(((AR251-AO251)*4433)+Weightings!B251,0))</f>
        <v>3697636</v>
      </c>
      <c r="BI251" s="174">
        <v>0.3</v>
      </c>
      <c r="BJ251" s="2">
        <f t="shared" si="298"/>
        <v>1109291</v>
      </c>
      <c r="BK251" s="173">
        <v>1088278</v>
      </c>
      <c r="BL251" s="2">
        <f t="shared" si="303"/>
        <v>1088278</v>
      </c>
      <c r="BM251" s="3">
        <f t="shared" si="284"/>
        <v>0.29430000000000001</v>
      </c>
      <c r="BN251" s="1">
        <f t="shared" si="273"/>
        <v>0</v>
      </c>
      <c r="BO251" s="4" t="b">
        <f t="shared" si="274"/>
        <v>0</v>
      </c>
      <c r="BP251" s="5">
        <f t="shared" si="275"/>
        <v>0</v>
      </c>
      <c r="BQ251" s="6">
        <f t="shared" si="306"/>
        <v>0</v>
      </c>
      <c r="BR251" s="4">
        <f t="shared" si="276"/>
        <v>0</v>
      </c>
      <c r="BS251" s="4" t="b">
        <f t="shared" si="277"/>
        <v>1</v>
      </c>
      <c r="BT251" s="4">
        <f t="shared" si="278"/>
        <v>122.5125</v>
      </c>
      <c r="BU251" s="6">
        <f t="shared" si="307"/>
        <v>0.45055099999999998</v>
      </c>
      <c r="BV251" s="1">
        <f t="shared" si="279"/>
        <v>179.8</v>
      </c>
      <c r="BW251" s="1">
        <f t="shared" si="280"/>
        <v>0</v>
      </c>
      <c r="BX251" s="116">
        <v>775.3</v>
      </c>
      <c r="BY251" s="7">
        <f t="shared" si="285"/>
        <v>0.1</v>
      </c>
      <c r="BZ251" s="7">
        <f>IF(ROUND((Weightings!$P$5*BY251^Weightings!$P$6*Weightings!$P$8 ),2)&lt;Weightings!$P$7,Weightings!$P$7,ROUND((Weightings!$P$5*BY251^Weightings!$P$6*Weightings!$P$8 ),2))</f>
        <v>1694.63</v>
      </c>
      <c r="CA251" s="8">
        <f>ROUND(BZ251/Weightings!$M$5,4)</f>
        <v>0.4415</v>
      </c>
      <c r="CB251" s="1">
        <f t="shared" si="286"/>
        <v>34.9</v>
      </c>
      <c r="CC251" s="173">
        <v>0</v>
      </c>
      <c r="CD251" s="173">
        <v>0</v>
      </c>
      <c r="CE251" s="173">
        <v>0</v>
      </c>
      <c r="CF251" s="177">
        <v>0</v>
      </c>
      <c r="CG251" s="2">
        <f>AS251*Weightings!$M$5*CF251</f>
        <v>0</v>
      </c>
      <c r="CH251" s="2">
        <f t="shared" si="305"/>
        <v>0</v>
      </c>
      <c r="CI251" s="117">
        <f t="shared" si="281"/>
        <v>0.46899999999999997</v>
      </c>
      <c r="CJ251" s="4">
        <f t="shared" si="282"/>
        <v>0.5</v>
      </c>
      <c r="CK251" s="1">
        <f t="shared" si="287"/>
        <v>0</v>
      </c>
      <c r="CL251" s="1">
        <f t="shared" si="288"/>
        <v>0</v>
      </c>
      <c r="CM251" s="1">
        <f t="shared" si="289"/>
        <v>15.6</v>
      </c>
      <c r="CN251" s="1">
        <f>IF(ISNA(VLOOKUP($CZ251,'Audit Values'!$A$2:$AE$439,2,FALSE)),'Preliminary SO66'!T248,VLOOKUP($CZ251,'Audit Values'!$A$2:$AE$439,20,FALSE))</f>
        <v>0</v>
      </c>
      <c r="CO251" s="1">
        <f t="shared" si="254"/>
        <v>0</v>
      </c>
      <c r="CP251" s="183">
        <v>0</v>
      </c>
      <c r="CQ251" s="1">
        <f t="shared" si="255"/>
        <v>0</v>
      </c>
      <c r="CR251" s="2">
        <f>IF(ISNA(VLOOKUP($CZ251,'Audit Values'!$A$2:$AE$439,2,FALSE)),'Preliminary SO66'!V248,VLOOKUP($CZ251,'Audit Values'!$A$2:$AE$439,22,FALSE))</f>
        <v>0</v>
      </c>
      <c r="CS251" s="1">
        <f t="shared" si="256"/>
        <v>0</v>
      </c>
      <c r="CT251" s="2">
        <f>IF(ISNA(VLOOKUP($CZ251,'Audit Values'!$A$2:$AE$439,2,FALSE)),'Preliminary SO66'!W248,VLOOKUP($CZ251,'Audit Values'!$A$2:$AE$439,23,FALSE))</f>
        <v>0</v>
      </c>
      <c r="CU251" s="1">
        <f t="shared" si="301"/>
        <v>0</v>
      </c>
      <c r="CV251" s="1">
        <f t="shared" si="302"/>
        <v>0</v>
      </c>
      <c r="CW251" s="176">
        <v>0</v>
      </c>
      <c r="CX251" s="2">
        <f>IF(CW251&gt;0,Weightings!$M$11*AR251,0)</f>
        <v>0</v>
      </c>
      <c r="CY251" s="2">
        <f t="shared" si="290"/>
        <v>0</v>
      </c>
      <c r="CZ251" s="108" t="s">
        <v>543</v>
      </c>
    </row>
    <row r="252" spans="1:104">
      <c r="A252" s="82">
        <v>468</v>
      </c>
      <c r="B252" s="4" t="s">
        <v>106</v>
      </c>
      <c r="C252" s="4" t="s">
        <v>878</v>
      </c>
      <c r="D252" s="1">
        <v>68</v>
      </c>
      <c r="E252" s="1">
        <v>0</v>
      </c>
      <c r="F252" s="1">
        <f t="shared" si="294"/>
        <v>68</v>
      </c>
      <c r="G252" s="1">
        <v>71</v>
      </c>
      <c r="H252" s="1">
        <v>1.5</v>
      </c>
      <c r="I252" s="1">
        <f t="shared" si="257"/>
        <v>72.5</v>
      </c>
      <c r="J252" s="1">
        <f t="shared" si="258"/>
        <v>79.8</v>
      </c>
      <c r="K252" s="1">
        <f>IF(ISNA(VLOOKUP($CZ252,'Audit Values'!$A$2:$AE$439,2,FALSE)),'Preliminary SO66'!B249,VLOOKUP($CZ252,'Audit Values'!$A$2:$AE$439,31,FALSE))</f>
        <v>79.5</v>
      </c>
      <c r="L252" s="1">
        <f t="shared" si="259"/>
        <v>79.5</v>
      </c>
      <c r="M252" s="1">
        <f>IF(ISNA(VLOOKUP($CZ252,'Audit Values'!$A$2:$AE$439,2,FALSE)),'Preliminary SO66'!Z249,VLOOKUP($CZ252,'Audit Values'!$A$2:$AE$439,26,FALSE))</f>
        <v>0</v>
      </c>
      <c r="N252" s="1">
        <f t="shared" si="260"/>
        <v>79.5</v>
      </c>
      <c r="O252" s="1">
        <f>IF(ISNA(VLOOKUP($CZ252,'Audit Values'!$A$2:$AE$439,2,FALSE)),'Preliminary SO66'!C249,IF(VLOOKUP($CZ252,'Audit Values'!$A$2:$AE$439,28,FALSE)="",VLOOKUP($CZ252,'Audit Values'!$A$2:$AE$439,3,FALSE),VLOOKUP($CZ252,'Audit Values'!$A$2:$AE$439,28,FALSE)))</f>
        <v>0</v>
      </c>
      <c r="P252" s="109">
        <f t="shared" si="261"/>
        <v>79.5</v>
      </c>
      <c r="Q252" s="110">
        <f t="shared" si="262"/>
        <v>79.8</v>
      </c>
      <c r="R252" s="111">
        <f t="shared" si="263"/>
        <v>79.8</v>
      </c>
      <c r="S252" s="1">
        <f t="shared" si="264"/>
        <v>79.5</v>
      </c>
      <c r="T252" s="1">
        <f t="shared" si="293"/>
        <v>0.3</v>
      </c>
      <c r="U252" s="1">
        <f t="shared" si="265"/>
        <v>80.599999999999994</v>
      </c>
      <c r="V252" s="1">
        <f t="shared" si="308"/>
        <v>80.599999999999994</v>
      </c>
      <c r="W252" s="1">
        <f t="shared" si="309"/>
        <v>0</v>
      </c>
      <c r="X252" s="1">
        <f>IF(ISNA(VLOOKUP($CZ252,'Audit Values'!$A$2:$AE$439,2,FALSE)),'Preliminary SO66'!D249,VLOOKUP($CZ252,'Audit Values'!$A$2:$AE$439,4,FALSE))</f>
        <v>0</v>
      </c>
      <c r="Y252" s="1">
        <f>ROUND((X252/6)*Weightings!$M$6,1)</f>
        <v>0</v>
      </c>
      <c r="Z252" s="1">
        <f>IF(ISNA(VLOOKUP($CZ252,'Audit Values'!$A$2:$AE$439,2,FALSE)),'Preliminary SO66'!F249,VLOOKUP($CZ252,'Audit Values'!$A$2:$AE$439,6,FALSE))</f>
        <v>25.4</v>
      </c>
      <c r="AA252" s="1">
        <f>ROUND((Z252/6)*Weightings!$M$7,1)</f>
        <v>1.7</v>
      </c>
      <c r="AB252" s="2">
        <f>IF(ISNA(VLOOKUP($CZ252,'Audit Values'!$A$2:$AE$439,2,FALSE)),'Preliminary SO66'!H249,VLOOKUP($CZ252,'Audit Values'!$A$2:$AE$439,8,FALSE))</f>
        <v>49</v>
      </c>
      <c r="AC252" s="1">
        <f>ROUND(AB252*Weightings!$M$8,1)</f>
        <v>22.3</v>
      </c>
      <c r="AD252" s="1">
        <f t="shared" si="304"/>
        <v>5.0999999999999996</v>
      </c>
      <c r="AE252" s="185">
        <v>5</v>
      </c>
      <c r="AF252" s="1">
        <f>AE252*Weightings!$M$9</f>
        <v>0.2</v>
      </c>
      <c r="AG252" s="1">
        <f>IF(ISNA(VLOOKUP($CZ252,'Audit Values'!$A$2:$AE$439,2,FALSE)),'Preliminary SO66'!L249,VLOOKUP($CZ252,'Audit Values'!$A$2:$AE$439,12,FALSE))</f>
        <v>0</v>
      </c>
      <c r="AH252" s="1">
        <f>ROUND(AG252*Weightings!$M$10,1)</f>
        <v>0</v>
      </c>
      <c r="AI252" s="1">
        <f>IF(ISNA(VLOOKUP($CZ252,'Audit Values'!$A$2:$AE$439,2,FALSE)),'Preliminary SO66'!O249,VLOOKUP($CZ252,'Audit Values'!$A$2:$AE$439,15,FALSE))</f>
        <v>6.5</v>
      </c>
      <c r="AJ252" s="1">
        <f t="shared" si="266"/>
        <v>3.8</v>
      </c>
      <c r="AK252" s="1">
        <f>CC252/Weightings!$M$5</f>
        <v>0</v>
      </c>
      <c r="AL252" s="1">
        <f>CD252/Weightings!$M$5</f>
        <v>0</v>
      </c>
      <c r="AM252" s="1">
        <f>CH252/Weightings!$M$5</f>
        <v>0</v>
      </c>
      <c r="AN252" s="1">
        <f t="shared" si="253"/>
        <v>0.3</v>
      </c>
      <c r="AO252" s="1">
        <f>IF(ISNA(VLOOKUP($CZ252,'Audit Values'!$A$2:$AE$439,2,FALSE)),'Preliminary SO66'!X249,VLOOKUP($CZ252,'Audit Values'!$A$2:$AE$439,24,FALSE))</f>
        <v>0</v>
      </c>
      <c r="AP252" s="188">
        <v>84469</v>
      </c>
      <c r="AQ252" s="113">
        <f>AP252/Weightings!$M$5</f>
        <v>22</v>
      </c>
      <c r="AR252" s="113">
        <f t="shared" si="267"/>
        <v>193.5</v>
      </c>
      <c r="AS252" s="1">
        <f t="shared" si="268"/>
        <v>215.5</v>
      </c>
      <c r="AT252" s="1">
        <f t="shared" si="269"/>
        <v>215.5</v>
      </c>
      <c r="AU252" s="2">
        <f t="shared" si="283"/>
        <v>0</v>
      </c>
      <c r="AV252" s="142">
        <f>IF(ISNA(VLOOKUP($CZ252,'Audit Values'!$A$2:$AC$360,2,FALSE)),"",IF(AND(Weightings!H252&gt;0,VLOOKUP($CZ252,'Audit Values'!$A$2:$AC$360,29,FALSE)&lt;Weightings!H252),Weightings!H252,VLOOKUP($CZ252,'Audit Values'!$A$2:$AC$360,29,FALSE)))</f>
        <v>31</v>
      </c>
      <c r="AW252" s="142" t="str">
        <f>IF(ISNA(VLOOKUP($CZ252,'Audit Values'!$A$2:$AD$360,2,FALSE)),"",VLOOKUP($CZ252,'Audit Values'!$A$2:$AD$360,30,FALSE))</f>
        <v>A</v>
      </c>
      <c r="AX252" s="159" t="str">
        <f>IF(Weightings!G252="","",IF(Weightings!I252="Pending","PX","R"))</f>
        <v>R</v>
      </c>
      <c r="AY252" s="114">
        <f>AR252*Weightings!$M$5+AU252</f>
        <v>742653</v>
      </c>
      <c r="AZ252" s="2">
        <f>AT252*Weightings!$M$5+AU252</f>
        <v>827089</v>
      </c>
      <c r="BA252" s="2">
        <f>IF(Weightings!G252&gt;0,Weightings!G252,'Preliminary SO66'!AB249)</f>
        <v>924958</v>
      </c>
      <c r="BB252" s="2">
        <f t="shared" si="270"/>
        <v>827089</v>
      </c>
      <c r="BC252" s="124"/>
      <c r="BD252" s="124">
        <f>Weightings!E252</f>
        <v>0</v>
      </c>
      <c r="BE252" s="124">
        <f>Weightings!F252</f>
        <v>0</v>
      </c>
      <c r="BF252" s="2">
        <f t="shared" si="271"/>
        <v>0</v>
      </c>
      <c r="BG252" s="2">
        <f t="shared" si="272"/>
        <v>827089</v>
      </c>
      <c r="BH252" s="2">
        <f>MAX(ROUND(((AR252-AO252)*4433)+AP252,0),ROUND(((AR252-AO252)*4433)+Weightings!B252,0))</f>
        <v>972911</v>
      </c>
      <c r="BI252" s="174">
        <v>0.31</v>
      </c>
      <c r="BJ252" s="2">
        <f t="shared" si="298"/>
        <v>301602</v>
      </c>
      <c r="BK252" s="173">
        <v>324707</v>
      </c>
      <c r="BL252" s="2">
        <f t="shared" si="303"/>
        <v>301602</v>
      </c>
      <c r="BM252" s="3">
        <f t="shared" si="284"/>
        <v>0.31</v>
      </c>
      <c r="BN252" s="1">
        <f t="shared" si="273"/>
        <v>80.599999999999994</v>
      </c>
      <c r="BO252" s="4" t="b">
        <f t="shared" si="274"/>
        <v>0</v>
      </c>
      <c r="BP252" s="5">
        <f t="shared" si="275"/>
        <v>0</v>
      </c>
      <c r="BQ252" s="6">
        <f t="shared" si="306"/>
        <v>0</v>
      </c>
      <c r="BR252" s="4">
        <f t="shared" si="276"/>
        <v>0</v>
      </c>
      <c r="BS252" s="4" t="b">
        <f t="shared" si="277"/>
        <v>0</v>
      </c>
      <c r="BT252" s="4">
        <f t="shared" si="278"/>
        <v>0</v>
      </c>
      <c r="BU252" s="6">
        <f t="shared" si="307"/>
        <v>0</v>
      </c>
      <c r="BV252" s="1">
        <f t="shared" si="279"/>
        <v>0</v>
      </c>
      <c r="BW252" s="1">
        <f t="shared" si="280"/>
        <v>0</v>
      </c>
      <c r="BX252" s="116">
        <v>203.3</v>
      </c>
      <c r="BY252" s="7">
        <f t="shared" si="285"/>
        <v>0.03</v>
      </c>
      <c r="BZ252" s="7">
        <f>IF(ROUND((Weightings!$P$5*BY252^Weightings!$P$6*Weightings!$P$8 ),2)&lt;Weightings!$P$7,Weightings!$P$7,ROUND((Weightings!$P$5*BY252^Weightings!$P$6*Weightings!$P$8 ),2))</f>
        <v>2230.1999999999998</v>
      </c>
      <c r="CA252" s="8">
        <f>ROUND(BZ252/Weightings!$M$5,4)</f>
        <v>0.58109999999999995</v>
      </c>
      <c r="CB252" s="1">
        <f t="shared" si="286"/>
        <v>3.8</v>
      </c>
      <c r="CC252" s="173">
        <v>0</v>
      </c>
      <c r="CD252" s="173">
        <v>0</v>
      </c>
      <c r="CE252" s="173">
        <v>0</v>
      </c>
      <c r="CF252" s="177">
        <v>0</v>
      </c>
      <c r="CG252" s="2">
        <f>AS252*Weightings!$M$5*CF252</f>
        <v>0</v>
      </c>
      <c r="CH252" s="2">
        <f t="shared" si="305"/>
        <v>0</v>
      </c>
      <c r="CI252" s="117">
        <f t="shared" si="281"/>
        <v>0.61599999999999999</v>
      </c>
      <c r="CJ252" s="4">
        <f t="shared" si="282"/>
        <v>0.4</v>
      </c>
      <c r="CK252" s="1">
        <f t="shared" si="287"/>
        <v>5.0999999999999996</v>
      </c>
      <c r="CL252" s="1">
        <f t="shared" si="288"/>
        <v>0</v>
      </c>
      <c r="CM252" s="1">
        <f t="shared" si="289"/>
        <v>0</v>
      </c>
      <c r="CN252" s="1">
        <f>IF(ISNA(VLOOKUP($CZ252,'Audit Values'!$A$2:$AE$439,2,FALSE)),'Preliminary SO66'!T249,VLOOKUP($CZ252,'Audit Values'!$A$2:$AE$439,20,FALSE))</f>
        <v>0.3</v>
      </c>
      <c r="CO252" s="1">
        <f t="shared" si="254"/>
        <v>0.3</v>
      </c>
      <c r="CP252" s="183">
        <v>0</v>
      </c>
      <c r="CQ252" s="1">
        <f t="shared" si="255"/>
        <v>0</v>
      </c>
      <c r="CR252" s="2">
        <f>IF(ISNA(VLOOKUP($CZ252,'Audit Values'!$A$2:$AE$439,2,FALSE)),'Preliminary SO66'!V249,VLOOKUP($CZ252,'Audit Values'!$A$2:$AE$439,22,FALSE))</f>
        <v>0</v>
      </c>
      <c r="CS252" s="1">
        <f t="shared" si="256"/>
        <v>0</v>
      </c>
      <c r="CT252" s="2">
        <f>IF(ISNA(VLOOKUP($CZ252,'Audit Values'!$A$2:$AE$439,2,FALSE)),'Preliminary SO66'!W249,VLOOKUP($CZ252,'Audit Values'!$A$2:$AE$439,23,FALSE))</f>
        <v>0</v>
      </c>
      <c r="CU252" s="1">
        <f t="shared" si="301"/>
        <v>0</v>
      </c>
      <c r="CV252" s="1">
        <f t="shared" si="302"/>
        <v>0.3</v>
      </c>
      <c r="CW252" s="176">
        <v>0</v>
      </c>
      <c r="CX252" s="2">
        <f>IF(CW252&gt;0,Weightings!$M$11*AR252,0)</f>
        <v>0</v>
      </c>
      <c r="CY252" s="2">
        <f t="shared" si="290"/>
        <v>0</v>
      </c>
      <c r="CZ252" s="108" t="s">
        <v>544</v>
      </c>
    </row>
    <row r="253" spans="1:104">
      <c r="A253" s="82">
        <v>469</v>
      </c>
      <c r="B253" s="4" t="s">
        <v>13</v>
      </c>
      <c r="C253" s="4" t="s">
        <v>879</v>
      </c>
      <c r="D253" s="1">
        <v>2534.8000000000002</v>
      </c>
      <c r="E253" s="1">
        <v>0</v>
      </c>
      <c r="F253" s="1">
        <f t="shared" si="294"/>
        <v>2534.8000000000002</v>
      </c>
      <c r="G253" s="1">
        <v>2576</v>
      </c>
      <c r="H253" s="1">
        <v>0</v>
      </c>
      <c r="I253" s="1">
        <f t="shared" si="257"/>
        <v>2576</v>
      </c>
      <c r="J253" s="1">
        <f t="shared" si="258"/>
        <v>2557.1</v>
      </c>
      <c r="K253" s="1">
        <f>IF(ISNA(VLOOKUP($CZ253,'Audit Values'!$A$2:$AE$439,2,FALSE)),'Preliminary SO66'!B250,VLOOKUP($CZ253,'Audit Values'!$A$2:$AE$439,31,FALSE))</f>
        <v>2557.1</v>
      </c>
      <c r="L253" s="1">
        <f t="shared" si="259"/>
        <v>2576</v>
      </c>
      <c r="M253" s="1">
        <f>IF(ISNA(VLOOKUP($CZ253,'Audit Values'!$A$2:$AE$439,2,FALSE)),'Preliminary SO66'!Z250,VLOOKUP($CZ253,'Audit Values'!$A$2:$AE$439,26,FALSE))</f>
        <v>0</v>
      </c>
      <c r="N253" s="1">
        <f t="shared" si="260"/>
        <v>2576</v>
      </c>
      <c r="O253" s="1">
        <f>IF(ISNA(VLOOKUP($CZ253,'Audit Values'!$A$2:$AE$439,2,FALSE)),'Preliminary SO66'!C250,IF(VLOOKUP($CZ253,'Audit Values'!$A$2:$AE$439,28,FALSE)="",VLOOKUP($CZ253,'Audit Values'!$A$2:$AE$439,3,FALSE),VLOOKUP($CZ253,'Audit Values'!$A$2:$AE$439,28,FALSE)))</f>
        <v>0</v>
      </c>
      <c r="P253" s="109">
        <f t="shared" si="261"/>
        <v>2557.1</v>
      </c>
      <c r="Q253" s="110">
        <f t="shared" si="262"/>
        <v>2557.1</v>
      </c>
      <c r="R253" s="111">
        <f t="shared" si="263"/>
        <v>2557.1</v>
      </c>
      <c r="S253" s="1">
        <f t="shared" si="264"/>
        <v>2576</v>
      </c>
      <c r="T253" s="1">
        <f t="shared" si="293"/>
        <v>0</v>
      </c>
      <c r="U253" s="1">
        <f t="shared" si="265"/>
        <v>90.3</v>
      </c>
      <c r="V253" s="1">
        <f t="shared" si="308"/>
        <v>0</v>
      </c>
      <c r="W253" s="1">
        <f t="shared" si="309"/>
        <v>90.3</v>
      </c>
      <c r="X253" s="1">
        <f>IF(ISNA(VLOOKUP($CZ253,'Audit Values'!$A$2:$AE$439,2,FALSE)),'Preliminary SO66'!D250,VLOOKUP($CZ253,'Audit Values'!$A$2:$AE$439,4,FALSE))</f>
        <v>188.3</v>
      </c>
      <c r="Y253" s="1">
        <f>ROUND((X253/6)*Weightings!$M$6,1)</f>
        <v>15.7</v>
      </c>
      <c r="Z253" s="1">
        <f>IF(ISNA(VLOOKUP($CZ253,'Audit Values'!$A$2:$AE$439,2,FALSE)),'Preliminary SO66'!F250,VLOOKUP($CZ253,'Audit Values'!$A$2:$AE$439,6,FALSE))</f>
        <v>60.9</v>
      </c>
      <c r="AA253" s="1">
        <f>ROUND((Z253/6)*Weightings!$M$7,1)</f>
        <v>4</v>
      </c>
      <c r="AB253" s="2">
        <f>IF(ISNA(VLOOKUP($CZ253,'Audit Values'!$A$2:$AE$439,2,FALSE)),'Preliminary SO66'!H250,VLOOKUP($CZ253,'Audit Values'!$A$2:$AE$439,8,FALSE))</f>
        <v>566</v>
      </c>
      <c r="AC253" s="1">
        <f>ROUND(AB253*Weightings!$M$8,1)</f>
        <v>258.10000000000002</v>
      </c>
      <c r="AD253" s="1">
        <f t="shared" si="304"/>
        <v>0</v>
      </c>
      <c r="AE253" s="185">
        <v>181</v>
      </c>
      <c r="AF253" s="1">
        <f>AE253*Weightings!$M$9</f>
        <v>8.4</v>
      </c>
      <c r="AG253" s="1">
        <f>IF(ISNA(VLOOKUP($CZ253,'Audit Values'!$A$2:$AE$439,2,FALSE)),'Preliminary SO66'!L250,VLOOKUP($CZ253,'Audit Values'!$A$2:$AE$439,12,FALSE))</f>
        <v>0</v>
      </c>
      <c r="AH253" s="1">
        <f>ROUND(AG253*Weightings!$M$10,1)</f>
        <v>0</v>
      </c>
      <c r="AI253" s="1">
        <f>IF(ISNA(VLOOKUP($CZ253,'Audit Values'!$A$2:$AE$439,2,FALSE)),'Preliminary SO66'!O250,VLOOKUP($CZ253,'Audit Values'!$A$2:$AE$439,15,FALSE))</f>
        <v>453</v>
      </c>
      <c r="AJ253" s="1">
        <f t="shared" si="266"/>
        <v>71.3</v>
      </c>
      <c r="AK253" s="1">
        <f>CC253/Weightings!$M$5</f>
        <v>0</v>
      </c>
      <c r="AL253" s="1">
        <f>CD253/Weightings!$M$5</f>
        <v>0</v>
      </c>
      <c r="AM253" s="1">
        <f>CH253/Weightings!$M$5</f>
        <v>0</v>
      </c>
      <c r="AN253" s="1">
        <f t="shared" ref="AN253:AN290" si="310">CV253</f>
        <v>0</v>
      </c>
      <c r="AO253" s="1">
        <f>IF(ISNA(VLOOKUP($CZ253,'Audit Values'!$A$2:$AE$439,2,FALSE)),'Preliminary SO66'!X250,VLOOKUP($CZ253,'Audit Values'!$A$2:$AE$439,24,FALSE))</f>
        <v>0</v>
      </c>
      <c r="AP253" s="188">
        <v>2204646</v>
      </c>
      <c r="AQ253" s="113">
        <f>AP253/Weightings!$M$5</f>
        <v>574.4</v>
      </c>
      <c r="AR253" s="113">
        <f t="shared" si="267"/>
        <v>3023.8</v>
      </c>
      <c r="AS253" s="1">
        <f t="shared" si="268"/>
        <v>3598.2</v>
      </c>
      <c r="AT253" s="1">
        <f t="shared" si="269"/>
        <v>3598.2</v>
      </c>
      <c r="AU253" s="2">
        <f t="shared" si="283"/>
        <v>0</v>
      </c>
      <c r="AV253" s="82">
        <f>IF(ISNA(VLOOKUP($CZ253,'Audit Values'!$A$2:$AC$360,2,FALSE)),"",IF(AND(Weightings!H253&gt;0,VLOOKUP($CZ253,'Audit Values'!$A$2:$AC$360,29,FALSE)&lt;Weightings!H253),Weightings!H253,VLOOKUP($CZ253,'Audit Values'!$A$2:$AC$360,29,FALSE)))</f>
        <v>24</v>
      </c>
      <c r="AW253" s="82" t="str">
        <f>IF(ISNA(VLOOKUP($CZ253,'Audit Values'!$A$2:$AD$360,2,FALSE)),"",VLOOKUP($CZ253,'Audit Values'!$A$2:$AD$360,30,FALSE))</f>
        <v>A</v>
      </c>
      <c r="AX253" s="82" t="str">
        <f>IF(Weightings!G253="","",IF(Weightings!I253="Pending","PX","R"))</f>
        <v/>
      </c>
      <c r="AY253" s="114">
        <f>AR253*Weightings!$M$5+AU253</f>
        <v>11605344</v>
      </c>
      <c r="AZ253" s="2">
        <f>AT253*Weightings!$M$5+AU253</f>
        <v>13809892</v>
      </c>
      <c r="BA253" s="2">
        <f>IF(Weightings!G253&gt;0,Weightings!G253,'Preliminary SO66'!AB250)</f>
        <v>14025971</v>
      </c>
      <c r="BB253" s="2">
        <f t="shared" si="270"/>
        <v>13809892</v>
      </c>
      <c r="BC253" s="124"/>
      <c r="BD253" s="124">
        <f>Weightings!E253</f>
        <v>-5295</v>
      </c>
      <c r="BE253" s="124">
        <f>Weightings!F253</f>
        <v>0</v>
      </c>
      <c r="BF253" s="2">
        <f t="shared" si="271"/>
        <v>-5295</v>
      </c>
      <c r="BG253" s="2">
        <f t="shared" si="272"/>
        <v>13804597</v>
      </c>
      <c r="BH253" s="2">
        <f>MAX(ROUND(((AR253-AO253)*4433)+AP253,0),ROUND(((AR253-AO253)*4433)+Weightings!B253,0))</f>
        <v>15609151</v>
      </c>
      <c r="BI253" s="174">
        <v>0.3</v>
      </c>
      <c r="BJ253" s="2">
        <f t="shared" si="298"/>
        <v>4682745</v>
      </c>
      <c r="BK253" s="173">
        <v>4752651</v>
      </c>
      <c r="BL253" s="2">
        <f t="shared" si="303"/>
        <v>4682745</v>
      </c>
      <c r="BM253" s="3">
        <f t="shared" si="284"/>
        <v>0.3</v>
      </c>
      <c r="BN253" s="1">
        <f t="shared" si="273"/>
        <v>0</v>
      </c>
      <c r="BO253" s="4" t="b">
        <f t="shared" si="274"/>
        <v>0</v>
      </c>
      <c r="BP253" s="5">
        <f t="shared" si="275"/>
        <v>0</v>
      </c>
      <c r="BQ253" s="6">
        <f t="shared" si="306"/>
        <v>0</v>
      </c>
      <c r="BR253" s="4">
        <f t="shared" si="276"/>
        <v>0</v>
      </c>
      <c r="BS253" s="4" t="b">
        <f t="shared" si="277"/>
        <v>0</v>
      </c>
      <c r="BT253" s="4">
        <f t="shared" si="278"/>
        <v>0</v>
      </c>
      <c r="BU253" s="6">
        <f t="shared" si="307"/>
        <v>0</v>
      </c>
      <c r="BV253" s="1">
        <f t="shared" si="279"/>
        <v>0</v>
      </c>
      <c r="BW253" s="1">
        <f t="shared" si="280"/>
        <v>90.3</v>
      </c>
      <c r="BX253" s="116">
        <v>49</v>
      </c>
      <c r="BY253" s="7">
        <f t="shared" si="285"/>
        <v>9.24</v>
      </c>
      <c r="BZ253" s="7">
        <f>IF(ROUND((Weightings!$P$5*BY253^Weightings!$P$6*Weightings!$P$8 ),2)&lt;Weightings!$P$7,Weightings!$P$7,ROUND((Weightings!$P$5*BY253^Weightings!$P$6*Weightings!$P$8 ),2))</f>
        <v>603.54</v>
      </c>
      <c r="CA253" s="8">
        <f>ROUND(BZ253/Weightings!$M$5,4)</f>
        <v>0.1573</v>
      </c>
      <c r="CB253" s="1">
        <f t="shared" si="286"/>
        <v>71.3</v>
      </c>
      <c r="CC253" s="173">
        <v>0</v>
      </c>
      <c r="CD253" s="173">
        <v>0</v>
      </c>
      <c r="CE253" s="173">
        <v>0</v>
      </c>
      <c r="CF253" s="177">
        <v>1.95E-2</v>
      </c>
      <c r="CG253" s="2">
        <f>AS253*Weightings!$M$5*CF253</f>
        <v>269293</v>
      </c>
      <c r="CH253" s="2">
        <f t="shared" si="305"/>
        <v>0</v>
      </c>
      <c r="CI253" s="117">
        <f t="shared" si="281"/>
        <v>0.22</v>
      </c>
      <c r="CJ253" s="4">
        <f t="shared" si="282"/>
        <v>52.6</v>
      </c>
      <c r="CK253" s="1">
        <f t="shared" si="287"/>
        <v>0</v>
      </c>
      <c r="CL253" s="1">
        <f t="shared" si="288"/>
        <v>0</v>
      </c>
      <c r="CM253" s="1">
        <f t="shared" si="289"/>
        <v>0</v>
      </c>
      <c r="CN253" s="1">
        <f>IF(ISNA(VLOOKUP($CZ253,'Audit Values'!$A$2:$AE$439,2,FALSE)),'Preliminary SO66'!T250,VLOOKUP($CZ253,'Audit Values'!$A$2:$AE$439,20,FALSE))</f>
        <v>0</v>
      </c>
      <c r="CO253" s="1">
        <f t="shared" ref="CO253:CO290" si="311">CN253*1.05</f>
        <v>0</v>
      </c>
      <c r="CP253" s="183">
        <v>0</v>
      </c>
      <c r="CQ253" s="1">
        <f t="shared" ref="CQ253:CQ290" si="312">CP253*0.25</f>
        <v>0</v>
      </c>
      <c r="CR253" s="2">
        <f>IF(ISNA(VLOOKUP($CZ253,'Audit Values'!$A$2:$AE$439,2,FALSE)),'Preliminary SO66'!V250,VLOOKUP($CZ253,'Audit Values'!$A$2:$AE$439,22,FALSE))</f>
        <v>0</v>
      </c>
      <c r="CS253" s="1">
        <f t="shared" ref="CS253:CS290" si="313">CR253*0.08</f>
        <v>0</v>
      </c>
      <c r="CT253" s="2">
        <f>IF(ISNA(VLOOKUP($CZ253,'Audit Values'!$A$2:$AE$439,2,FALSE)),'Preliminary SO66'!W250,VLOOKUP($CZ253,'Audit Values'!$A$2:$AE$439,23,FALSE))</f>
        <v>0</v>
      </c>
      <c r="CU253" s="1">
        <f t="shared" si="301"/>
        <v>0</v>
      </c>
      <c r="CV253" s="1">
        <f t="shared" si="302"/>
        <v>0</v>
      </c>
      <c r="CW253" s="176">
        <v>0</v>
      </c>
      <c r="CX253" s="2">
        <f>IF(CW253&gt;0,Weightings!$M$11*AR253,0)</f>
        <v>0</v>
      </c>
      <c r="CY253" s="2">
        <f t="shared" si="290"/>
        <v>0</v>
      </c>
      <c r="CZ253" s="108" t="s">
        <v>545</v>
      </c>
    </row>
    <row r="254" spans="1:104">
      <c r="A254" s="82">
        <v>470</v>
      </c>
      <c r="B254" s="4" t="s">
        <v>104</v>
      </c>
      <c r="C254" s="4" t="s">
        <v>880</v>
      </c>
      <c r="D254" s="1">
        <v>2601.8000000000002</v>
      </c>
      <c r="E254" s="1">
        <v>0</v>
      </c>
      <c r="F254" s="1">
        <f t="shared" si="294"/>
        <v>2601.8000000000002</v>
      </c>
      <c r="G254" s="1">
        <v>2582.8000000000002</v>
      </c>
      <c r="H254" s="1">
        <v>0</v>
      </c>
      <c r="I254" s="1">
        <f t="shared" si="257"/>
        <v>2582.8000000000002</v>
      </c>
      <c r="J254" s="1">
        <f t="shared" si="258"/>
        <v>2590.5</v>
      </c>
      <c r="K254" s="1">
        <f>IF(ISNA(VLOOKUP($CZ254,'Audit Values'!$A$2:$AE$439,2,FALSE)),'Preliminary SO66'!B251,VLOOKUP($CZ254,'Audit Values'!$A$2:$AE$439,31,FALSE))</f>
        <v>2590.5</v>
      </c>
      <c r="L254" s="1">
        <f t="shared" si="259"/>
        <v>2591.6999999999998</v>
      </c>
      <c r="M254" s="1">
        <f>IF(ISNA(VLOOKUP($CZ254,'Audit Values'!$A$2:$AE$439,2,FALSE)),'Preliminary SO66'!Z251,VLOOKUP($CZ254,'Audit Values'!$A$2:$AE$439,26,FALSE))</f>
        <v>0</v>
      </c>
      <c r="N254" s="1">
        <f t="shared" si="260"/>
        <v>2591.6999999999998</v>
      </c>
      <c r="O254" s="1">
        <f>IF(ISNA(VLOOKUP($CZ254,'Audit Values'!$A$2:$AE$439,2,FALSE)),'Preliminary SO66'!C251,IF(VLOOKUP($CZ254,'Audit Values'!$A$2:$AE$439,28,FALSE)="",VLOOKUP($CZ254,'Audit Values'!$A$2:$AE$439,3,FALSE),VLOOKUP($CZ254,'Audit Values'!$A$2:$AE$439,28,FALSE)))</f>
        <v>54.5</v>
      </c>
      <c r="P254" s="109">
        <f t="shared" si="261"/>
        <v>2645</v>
      </c>
      <c r="Q254" s="110">
        <f t="shared" si="262"/>
        <v>2645</v>
      </c>
      <c r="R254" s="111">
        <f t="shared" si="263"/>
        <v>2645</v>
      </c>
      <c r="S254" s="1">
        <f t="shared" si="264"/>
        <v>2646.2</v>
      </c>
      <c r="T254" s="1">
        <f t="shared" si="293"/>
        <v>0</v>
      </c>
      <c r="U254" s="1">
        <f t="shared" si="265"/>
        <v>92.7</v>
      </c>
      <c r="V254" s="1">
        <f t="shared" si="308"/>
        <v>0</v>
      </c>
      <c r="W254" s="1">
        <f t="shared" si="309"/>
        <v>92.7</v>
      </c>
      <c r="X254" s="1">
        <f>IF(ISNA(VLOOKUP($CZ254,'Audit Values'!$A$2:$AE$439,2,FALSE)),'Preliminary SO66'!D251,VLOOKUP($CZ254,'Audit Values'!$A$2:$AE$439,4,FALSE))</f>
        <v>653.29999999999995</v>
      </c>
      <c r="Y254" s="1">
        <f>ROUND((X254/6)*Weightings!$M$6,1)</f>
        <v>54.4</v>
      </c>
      <c r="Z254" s="1">
        <f>IF(ISNA(VLOOKUP($CZ254,'Audit Values'!$A$2:$AE$439,2,FALSE)),'Preliminary SO66'!F251,VLOOKUP($CZ254,'Audit Values'!$A$2:$AE$439,6,FALSE))</f>
        <v>878.2</v>
      </c>
      <c r="AA254" s="1">
        <f>ROUND((Z254/6)*Weightings!$M$7,1)</f>
        <v>57.8</v>
      </c>
      <c r="AB254" s="2">
        <f>IF(ISNA(VLOOKUP($CZ254,'Audit Values'!$A$2:$AE$439,2,FALSE)),'Preliminary SO66'!H251,VLOOKUP($CZ254,'Audit Values'!$A$2:$AE$439,8,FALSE))</f>
        <v>1682</v>
      </c>
      <c r="AC254" s="1">
        <f>ROUND(AB254*Weightings!$M$8,1)</f>
        <v>767</v>
      </c>
      <c r="AD254" s="1">
        <f t="shared" si="304"/>
        <v>176.6</v>
      </c>
      <c r="AE254" s="185">
        <v>129</v>
      </c>
      <c r="AF254" s="1">
        <f>AE254*Weightings!$M$9</f>
        <v>6</v>
      </c>
      <c r="AG254" s="1">
        <f>IF(ISNA(VLOOKUP($CZ254,'Audit Values'!$A$2:$AE$439,2,FALSE)),'Preliminary SO66'!L251,VLOOKUP($CZ254,'Audit Values'!$A$2:$AE$439,12,FALSE))</f>
        <v>32.700000000000003</v>
      </c>
      <c r="AH254" s="1">
        <f>ROUND(AG254*Weightings!$M$10,1)</f>
        <v>8.1999999999999993</v>
      </c>
      <c r="AI254" s="1">
        <f>IF(ISNA(VLOOKUP($CZ254,'Audit Values'!$A$2:$AE$439,2,FALSE)),'Preliminary SO66'!O251,VLOOKUP($CZ254,'Audit Values'!$A$2:$AE$439,15,FALSE))</f>
        <v>828</v>
      </c>
      <c r="AJ254" s="1">
        <f t="shared" si="266"/>
        <v>156.4</v>
      </c>
      <c r="AK254" s="1">
        <f>CC254/Weightings!$M$5</f>
        <v>0</v>
      </c>
      <c r="AL254" s="1">
        <f>CD254/Weightings!$M$5</f>
        <v>0</v>
      </c>
      <c r="AM254" s="1">
        <f>CH254/Weightings!$M$5</f>
        <v>0</v>
      </c>
      <c r="AN254" s="1">
        <f t="shared" si="310"/>
        <v>0</v>
      </c>
      <c r="AO254" s="1">
        <f>IF(ISNA(VLOOKUP($CZ254,'Audit Values'!$A$2:$AE$439,2,FALSE)),'Preliminary SO66'!X251,VLOOKUP($CZ254,'Audit Values'!$A$2:$AE$439,24,FALSE))</f>
        <v>0</v>
      </c>
      <c r="AP254" s="188">
        <v>2360470</v>
      </c>
      <c r="AQ254" s="113">
        <f>AP254/Weightings!$M$5</f>
        <v>615</v>
      </c>
      <c r="AR254" s="113">
        <f t="shared" si="267"/>
        <v>3965.3</v>
      </c>
      <c r="AS254" s="1">
        <f t="shared" si="268"/>
        <v>4580.3</v>
      </c>
      <c r="AT254" s="1">
        <f t="shared" si="269"/>
        <v>4580.3</v>
      </c>
      <c r="AU254" s="189">
        <v>265376</v>
      </c>
      <c r="AV254" s="82">
        <f>IF(ISNA(VLOOKUP($CZ254,'Audit Values'!$A$2:$AC$360,2,FALSE)),"",IF(AND(Weightings!H254&gt;0,VLOOKUP($CZ254,'Audit Values'!$A$2:$AC$360,29,FALSE)&lt;Weightings!H254),Weightings!H254,VLOOKUP($CZ254,'Audit Values'!$A$2:$AC$360,29,FALSE)))</f>
        <v>4</v>
      </c>
      <c r="AW254" s="82" t="str">
        <f>IF(ISNA(VLOOKUP($CZ254,'Audit Values'!$A$2:$AD$360,2,FALSE)),"",VLOOKUP($CZ254,'Audit Values'!$A$2:$AD$360,30,FALSE))</f>
        <v>A</v>
      </c>
      <c r="AX254" s="82" t="str">
        <f>IF(Weightings!G254="","",IF(Weightings!I254="Pending","PX","R"))</f>
        <v/>
      </c>
      <c r="AY254" s="114">
        <f>AR254*Weightings!$M$5+AU254</f>
        <v>15484197</v>
      </c>
      <c r="AZ254" s="2">
        <f>AT254*Weightings!$M$5+AU254</f>
        <v>17844567</v>
      </c>
      <c r="BA254" s="2">
        <f>IF(Weightings!G254&gt;0,Weightings!G254,'Preliminary SO66'!AB251)</f>
        <v>18262608</v>
      </c>
      <c r="BB254" s="2">
        <f t="shared" si="270"/>
        <v>17844567</v>
      </c>
      <c r="BC254" s="124"/>
      <c r="BD254" s="124">
        <f>Weightings!E254</f>
        <v>0</v>
      </c>
      <c r="BE254" s="124">
        <f>Weightings!F254</f>
        <v>0</v>
      </c>
      <c r="BF254" s="2">
        <f t="shared" si="271"/>
        <v>0</v>
      </c>
      <c r="BG254" s="2">
        <f t="shared" si="272"/>
        <v>17844567</v>
      </c>
      <c r="BH254" s="2">
        <f>MAX(ROUND(((AR254-AO254)*4433)+AP254,0),ROUND(((AR254-AO254)*4433)+Weightings!B254,0))</f>
        <v>19982126</v>
      </c>
      <c r="BI254" s="174">
        <v>0.3</v>
      </c>
      <c r="BJ254" s="2">
        <f t="shared" si="298"/>
        <v>5994638</v>
      </c>
      <c r="BK254" s="173">
        <v>5175000</v>
      </c>
      <c r="BL254" s="2">
        <f t="shared" si="303"/>
        <v>5175000</v>
      </c>
      <c r="BM254" s="3">
        <f t="shared" si="284"/>
        <v>0.25900000000000001</v>
      </c>
      <c r="BN254" s="1">
        <f t="shared" si="273"/>
        <v>0</v>
      </c>
      <c r="BO254" s="4" t="b">
        <f t="shared" si="274"/>
        <v>0</v>
      </c>
      <c r="BP254" s="5">
        <f t="shared" si="275"/>
        <v>0</v>
      </c>
      <c r="BQ254" s="6">
        <f t="shared" si="306"/>
        <v>0</v>
      </c>
      <c r="BR254" s="4">
        <f t="shared" si="276"/>
        <v>0</v>
      </c>
      <c r="BS254" s="4" t="b">
        <f t="shared" si="277"/>
        <v>0</v>
      </c>
      <c r="BT254" s="4">
        <f t="shared" si="278"/>
        <v>0</v>
      </c>
      <c r="BU254" s="6">
        <f t="shared" si="307"/>
        <v>0</v>
      </c>
      <c r="BV254" s="1">
        <f t="shared" si="279"/>
        <v>0</v>
      </c>
      <c r="BW254" s="1">
        <f t="shared" si="280"/>
        <v>92.7</v>
      </c>
      <c r="BX254" s="116">
        <v>200</v>
      </c>
      <c r="BY254" s="7">
        <f t="shared" si="285"/>
        <v>4.1399999999999997</v>
      </c>
      <c r="BZ254" s="7">
        <f>IF(ROUND((Weightings!$P$5*BY254^Weightings!$P$6*Weightings!$P$8 ),2)&lt;Weightings!$P$7,Weightings!$P$7,ROUND((Weightings!$P$5*BY254^Weightings!$P$6*Weightings!$P$8 ),2))</f>
        <v>724.83</v>
      </c>
      <c r="CA254" s="8">
        <f>ROUND(BZ254/Weightings!$M$5,4)</f>
        <v>0.18890000000000001</v>
      </c>
      <c r="CB254" s="1">
        <f t="shared" si="286"/>
        <v>156.4</v>
      </c>
      <c r="CC254" s="173">
        <v>0</v>
      </c>
      <c r="CD254" s="173">
        <v>0</v>
      </c>
      <c r="CE254" s="173">
        <v>0</v>
      </c>
      <c r="CF254" s="177">
        <v>0</v>
      </c>
      <c r="CG254" s="2">
        <f>AS254*Weightings!$M$5*CF254</f>
        <v>0</v>
      </c>
      <c r="CH254" s="2">
        <f t="shared" si="305"/>
        <v>0</v>
      </c>
      <c r="CI254" s="117">
        <f t="shared" si="281"/>
        <v>0.63600000000000001</v>
      </c>
      <c r="CJ254" s="4">
        <f t="shared" si="282"/>
        <v>13.2</v>
      </c>
      <c r="CK254" s="1">
        <f t="shared" si="287"/>
        <v>176.6</v>
      </c>
      <c r="CL254" s="1">
        <f t="shared" si="288"/>
        <v>0</v>
      </c>
      <c r="CM254" s="1">
        <f t="shared" si="289"/>
        <v>0</v>
      </c>
      <c r="CN254" s="1">
        <f>IF(ISNA(VLOOKUP($CZ254,'Audit Values'!$A$2:$AE$439,2,FALSE)),'Preliminary SO66'!T251,VLOOKUP($CZ254,'Audit Values'!$A$2:$AE$439,20,FALSE))</f>
        <v>0</v>
      </c>
      <c r="CO254" s="1">
        <f t="shared" si="311"/>
        <v>0</v>
      </c>
      <c r="CP254" s="183">
        <v>0</v>
      </c>
      <c r="CQ254" s="1">
        <f t="shared" si="312"/>
        <v>0</v>
      </c>
      <c r="CR254" s="2">
        <f>IF(ISNA(VLOOKUP($CZ254,'Audit Values'!$A$2:$AE$439,2,FALSE)),'Preliminary SO66'!V251,VLOOKUP($CZ254,'Audit Values'!$A$2:$AE$439,22,FALSE))</f>
        <v>0</v>
      </c>
      <c r="CS254" s="1">
        <f t="shared" si="313"/>
        <v>0</v>
      </c>
      <c r="CT254" s="2">
        <f>IF(ISNA(VLOOKUP($CZ254,'Audit Values'!$A$2:$AE$439,2,FALSE)),'Preliminary SO66'!W251,VLOOKUP($CZ254,'Audit Values'!$A$2:$AE$439,23,FALSE))</f>
        <v>0</v>
      </c>
      <c r="CU254" s="1">
        <f t="shared" si="301"/>
        <v>0</v>
      </c>
      <c r="CV254" s="1">
        <f t="shared" si="302"/>
        <v>0</v>
      </c>
      <c r="CW254" s="176">
        <v>266000</v>
      </c>
      <c r="CX254" s="2">
        <f>IF(CW254&gt;0,Weightings!$M$11*AR254,0)</f>
        <v>991325</v>
      </c>
      <c r="CY254" s="2">
        <f t="shared" si="290"/>
        <v>266000</v>
      </c>
      <c r="CZ254" s="108" t="s">
        <v>546</v>
      </c>
    </row>
    <row r="255" spans="1:104">
      <c r="A255" s="82">
        <v>471</v>
      </c>
      <c r="B255" s="4" t="s">
        <v>104</v>
      </c>
      <c r="C255" s="4" t="s">
        <v>881</v>
      </c>
      <c r="D255" s="1">
        <v>153</v>
      </c>
      <c r="E255" s="1">
        <v>0</v>
      </c>
      <c r="F255" s="1">
        <f t="shared" si="294"/>
        <v>153</v>
      </c>
      <c r="G255" s="1">
        <v>157.19999999999999</v>
      </c>
      <c r="H255" s="1">
        <v>0</v>
      </c>
      <c r="I255" s="1">
        <f t="shared" si="257"/>
        <v>157.19999999999999</v>
      </c>
      <c r="J255" s="1">
        <f t="shared" si="258"/>
        <v>146.80000000000001</v>
      </c>
      <c r="K255" s="1">
        <f>IF(ISNA(VLOOKUP($CZ255,'Audit Values'!$A$2:$AE$439,2,FALSE)),'Preliminary SO66'!B252,VLOOKUP($CZ255,'Audit Values'!$A$2:$AE$439,31,FALSE))</f>
        <v>146.80000000000001</v>
      </c>
      <c r="L255" s="1">
        <f t="shared" si="259"/>
        <v>157.19999999999999</v>
      </c>
      <c r="M255" s="1">
        <f>IF(ISNA(VLOOKUP($CZ255,'Audit Values'!$A$2:$AE$439,2,FALSE)),'Preliminary SO66'!Z252,VLOOKUP($CZ255,'Audit Values'!$A$2:$AE$439,26,FALSE))</f>
        <v>0</v>
      </c>
      <c r="N255" s="1">
        <f t="shared" si="260"/>
        <v>157.19999999999999</v>
      </c>
      <c r="O255" s="1">
        <f>IF(ISNA(VLOOKUP($CZ255,'Audit Values'!$A$2:$AE$439,2,FALSE)),'Preliminary SO66'!C252,IF(VLOOKUP($CZ255,'Audit Values'!$A$2:$AE$439,28,FALSE)="",VLOOKUP($CZ255,'Audit Values'!$A$2:$AE$439,3,FALSE),VLOOKUP($CZ255,'Audit Values'!$A$2:$AE$439,28,FALSE)))</f>
        <v>0</v>
      </c>
      <c r="P255" s="109">
        <f t="shared" si="261"/>
        <v>146.80000000000001</v>
      </c>
      <c r="Q255" s="110">
        <f t="shared" si="262"/>
        <v>146.80000000000001</v>
      </c>
      <c r="R255" s="111">
        <f t="shared" si="263"/>
        <v>146.80000000000001</v>
      </c>
      <c r="S255" s="1">
        <f t="shared" si="264"/>
        <v>157.19999999999999</v>
      </c>
      <c r="T255" s="1">
        <f t="shared" si="293"/>
        <v>0</v>
      </c>
      <c r="U255" s="1">
        <f t="shared" si="265"/>
        <v>135.6</v>
      </c>
      <c r="V255" s="1">
        <f t="shared" si="308"/>
        <v>135.6</v>
      </c>
      <c r="W255" s="1">
        <f t="shared" si="309"/>
        <v>0</v>
      </c>
      <c r="X255" s="1">
        <f>IF(ISNA(VLOOKUP($CZ255,'Audit Values'!$A$2:$AE$439,2,FALSE)),'Preliminary SO66'!D252,VLOOKUP($CZ255,'Audit Values'!$A$2:$AE$439,4,FALSE))</f>
        <v>0</v>
      </c>
      <c r="Y255" s="1">
        <f>ROUND((X255/6)*Weightings!$M$6,1)</f>
        <v>0</v>
      </c>
      <c r="Z255" s="1">
        <f>IF(ISNA(VLOOKUP($CZ255,'Audit Values'!$A$2:$AE$439,2,FALSE)),'Preliminary SO66'!F252,VLOOKUP($CZ255,'Audit Values'!$A$2:$AE$439,6,FALSE))</f>
        <v>0</v>
      </c>
      <c r="AA255" s="1">
        <f>ROUND((Z255/6)*Weightings!$M$7,1)</f>
        <v>0</v>
      </c>
      <c r="AB255" s="2">
        <f>IF(ISNA(VLOOKUP($CZ255,'Audit Values'!$A$2:$AE$439,2,FALSE)),'Preliminary SO66'!H252,VLOOKUP($CZ255,'Audit Values'!$A$2:$AE$439,8,FALSE))</f>
        <v>76</v>
      </c>
      <c r="AC255" s="1">
        <f>ROUND(AB255*Weightings!$M$8,1)</f>
        <v>34.700000000000003</v>
      </c>
      <c r="AD255" s="1">
        <f t="shared" si="304"/>
        <v>7.1</v>
      </c>
      <c r="AE255" s="185">
        <v>10</v>
      </c>
      <c r="AF255" s="1">
        <f>AE255*Weightings!$M$9</f>
        <v>0.5</v>
      </c>
      <c r="AG255" s="1">
        <f>IF(ISNA(VLOOKUP($CZ255,'Audit Values'!$A$2:$AE$439,2,FALSE)),'Preliminary SO66'!L252,VLOOKUP($CZ255,'Audit Values'!$A$2:$AE$439,12,FALSE))</f>
        <v>0</v>
      </c>
      <c r="AH255" s="1">
        <f>ROUND(AG255*Weightings!$M$10,1)</f>
        <v>0</v>
      </c>
      <c r="AI255" s="1">
        <f>IF(ISNA(VLOOKUP($CZ255,'Audit Values'!$A$2:$AE$439,2,FALSE)),'Preliminary SO66'!O252,VLOOKUP($CZ255,'Audit Values'!$A$2:$AE$439,15,FALSE))</f>
        <v>48</v>
      </c>
      <c r="AJ255" s="1">
        <f t="shared" si="266"/>
        <v>17.5</v>
      </c>
      <c r="AK255" s="1">
        <f>CC255/Weightings!$M$5</f>
        <v>0</v>
      </c>
      <c r="AL255" s="1">
        <f>CD255/Weightings!$M$5</f>
        <v>0</v>
      </c>
      <c r="AM255" s="1">
        <f>CH255/Weightings!$M$5</f>
        <v>0</v>
      </c>
      <c r="AN255" s="1">
        <f t="shared" si="310"/>
        <v>0</v>
      </c>
      <c r="AO255" s="1">
        <f>IF(ISNA(VLOOKUP($CZ255,'Audit Values'!$A$2:$AE$439,2,FALSE)),'Preliminary SO66'!X252,VLOOKUP($CZ255,'Audit Values'!$A$2:$AE$439,24,FALSE))</f>
        <v>0</v>
      </c>
      <c r="AP255" s="188">
        <v>160327</v>
      </c>
      <c r="AQ255" s="113">
        <f>AP255/Weightings!$M$5</f>
        <v>41.8</v>
      </c>
      <c r="AR255" s="113">
        <f t="shared" si="267"/>
        <v>352.6</v>
      </c>
      <c r="AS255" s="1">
        <f t="shared" si="268"/>
        <v>394.4</v>
      </c>
      <c r="AT255" s="1">
        <f t="shared" si="269"/>
        <v>394.4</v>
      </c>
      <c r="AU255" s="2">
        <f t="shared" si="283"/>
        <v>0</v>
      </c>
      <c r="AV255" s="82">
        <f>IF(ISNA(VLOOKUP($CZ255,'Audit Values'!$A$2:$AC$360,2,FALSE)),"",IF(AND(Weightings!H255&gt;0,VLOOKUP($CZ255,'Audit Values'!$A$2:$AC$360,29,FALSE)&lt;Weightings!H255),Weightings!H255,VLOOKUP($CZ255,'Audit Values'!$A$2:$AC$360,29,FALSE)))</f>
        <v>23</v>
      </c>
      <c r="AW255" s="82" t="str">
        <f>IF(ISNA(VLOOKUP($CZ255,'Audit Values'!$A$2:$AD$360,2,FALSE)),"",VLOOKUP($CZ255,'Audit Values'!$A$2:$AD$360,30,FALSE))</f>
        <v>A</v>
      </c>
      <c r="AX255" s="82" t="str">
        <f>IF(Weightings!G255="","",IF(Weightings!I255="Pending","PX","R"))</f>
        <v>R</v>
      </c>
      <c r="AY255" s="114">
        <f>AR255*Weightings!$M$5+AU255</f>
        <v>1353279</v>
      </c>
      <c r="AZ255" s="2">
        <f>AT255*Weightings!$M$5+AU255</f>
        <v>1513707</v>
      </c>
      <c r="BA255" s="2">
        <f>IF(Weightings!G255&gt;0,Weightings!G255,'Preliminary SO66'!AB252)</f>
        <v>1570126</v>
      </c>
      <c r="BB255" s="2">
        <f t="shared" si="270"/>
        <v>1513707</v>
      </c>
      <c r="BC255" s="124"/>
      <c r="BD255" s="124">
        <f>Weightings!E255</f>
        <v>0</v>
      </c>
      <c r="BE255" s="124">
        <f>Weightings!F255</f>
        <v>0</v>
      </c>
      <c r="BF255" s="2">
        <f t="shared" si="271"/>
        <v>0</v>
      </c>
      <c r="BG255" s="2">
        <f t="shared" si="272"/>
        <v>1513707</v>
      </c>
      <c r="BH255" s="2">
        <f>MAX(ROUND(((AR255-AO255)*4433)+AP255,0),ROUND(((AR255-AO255)*4433)+Weightings!B255,0))</f>
        <v>1745090</v>
      </c>
      <c r="BI255" s="174">
        <v>0.3</v>
      </c>
      <c r="BJ255" s="2">
        <f t="shared" si="298"/>
        <v>523527</v>
      </c>
      <c r="BK255" s="173">
        <v>325000</v>
      </c>
      <c r="BL255" s="2">
        <f t="shared" si="303"/>
        <v>325000</v>
      </c>
      <c r="BM255" s="3">
        <f t="shared" si="284"/>
        <v>0.1862</v>
      </c>
      <c r="BN255" s="1">
        <f t="shared" si="273"/>
        <v>0</v>
      </c>
      <c r="BO255" s="4" t="b">
        <f t="shared" si="274"/>
        <v>1</v>
      </c>
      <c r="BP255" s="5">
        <f t="shared" si="275"/>
        <v>552.26599999999996</v>
      </c>
      <c r="BQ255" s="6">
        <f t="shared" si="306"/>
        <v>0.86270999999999998</v>
      </c>
      <c r="BR255" s="4">
        <f t="shared" si="276"/>
        <v>135.6</v>
      </c>
      <c r="BS255" s="4" t="b">
        <f t="shared" si="277"/>
        <v>0</v>
      </c>
      <c r="BT255" s="4">
        <f t="shared" si="278"/>
        <v>0</v>
      </c>
      <c r="BU255" s="6">
        <f t="shared" si="307"/>
        <v>0</v>
      </c>
      <c r="BV255" s="1">
        <f t="shared" si="279"/>
        <v>0</v>
      </c>
      <c r="BW255" s="1">
        <f t="shared" si="280"/>
        <v>0</v>
      </c>
      <c r="BX255" s="116">
        <v>213</v>
      </c>
      <c r="BY255" s="7">
        <f t="shared" si="285"/>
        <v>0.23</v>
      </c>
      <c r="BZ255" s="7">
        <f>IF(ROUND((Weightings!$P$5*BY255^Weightings!$P$6*Weightings!$P$8 ),2)&lt;Weightings!$P$7,Weightings!$P$7,ROUND((Weightings!$P$5*BY255^Weightings!$P$6*Weightings!$P$8 ),2))</f>
        <v>1401.41</v>
      </c>
      <c r="CA255" s="8">
        <f>ROUND(BZ255/Weightings!$M$5,4)</f>
        <v>0.36509999999999998</v>
      </c>
      <c r="CB255" s="1">
        <f t="shared" si="286"/>
        <v>17.5</v>
      </c>
      <c r="CC255" s="173">
        <v>0</v>
      </c>
      <c r="CD255" s="173">
        <v>0</v>
      </c>
      <c r="CE255" s="173">
        <v>0</v>
      </c>
      <c r="CF255" s="177">
        <v>0</v>
      </c>
      <c r="CG255" s="2">
        <f>AS255*Weightings!$M$5*CF255</f>
        <v>0</v>
      </c>
      <c r="CH255" s="2">
        <f t="shared" si="305"/>
        <v>0</v>
      </c>
      <c r="CI255" s="117">
        <f t="shared" si="281"/>
        <v>0.48299999999999998</v>
      </c>
      <c r="CJ255" s="4">
        <f t="shared" si="282"/>
        <v>0.7</v>
      </c>
      <c r="CK255" s="1">
        <f t="shared" si="287"/>
        <v>0</v>
      </c>
      <c r="CL255" s="1">
        <f t="shared" si="288"/>
        <v>0</v>
      </c>
      <c r="CM255" s="1">
        <f t="shared" si="289"/>
        <v>7.1</v>
      </c>
      <c r="CN255" s="1">
        <f>IF(ISNA(VLOOKUP($CZ255,'Audit Values'!$A$2:$AE$439,2,FALSE)),'Preliminary SO66'!T252,VLOOKUP($CZ255,'Audit Values'!$A$2:$AE$439,20,FALSE))</f>
        <v>0</v>
      </c>
      <c r="CO255" s="1">
        <f t="shared" si="311"/>
        <v>0</v>
      </c>
      <c r="CP255" s="183">
        <v>0</v>
      </c>
      <c r="CQ255" s="1">
        <f t="shared" si="312"/>
        <v>0</v>
      </c>
      <c r="CR255" s="2">
        <f>IF(ISNA(VLOOKUP($CZ255,'Audit Values'!$A$2:$AE$439,2,FALSE)),'Preliminary SO66'!V252,VLOOKUP($CZ255,'Audit Values'!$A$2:$AE$439,22,FALSE))</f>
        <v>0</v>
      </c>
      <c r="CS255" s="1">
        <f t="shared" si="313"/>
        <v>0</v>
      </c>
      <c r="CT255" s="2">
        <f>IF(ISNA(VLOOKUP($CZ255,'Audit Values'!$A$2:$AE$439,2,FALSE)),'Preliminary SO66'!W252,VLOOKUP($CZ255,'Audit Values'!$A$2:$AE$439,23,FALSE))</f>
        <v>0</v>
      </c>
      <c r="CU255" s="1">
        <f t="shared" si="301"/>
        <v>0</v>
      </c>
      <c r="CV255" s="1">
        <f t="shared" si="302"/>
        <v>0</v>
      </c>
      <c r="CW255" s="176">
        <v>0</v>
      </c>
      <c r="CX255" s="2">
        <f>IF(CW255&gt;0,Weightings!$M$11*AR255,0)</f>
        <v>0</v>
      </c>
      <c r="CY255" s="2">
        <f t="shared" si="290"/>
        <v>0</v>
      </c>
      <c r="CZ255" s="108" t="s">
        <v>547</v>
      </c>
    </row>
    <row r="256" spans="1:104">
      <c r="A256" s="82">
        <v>473</v>
      </c>
      <c r="B256" s="4" t="s">
        <v>89</v>
      </c>
      <c r="C256" s="4" t="s">
        <v>882</v>
      </c>
      <c r="D256" s="1">
        <v>1032.7</v>
      </c>
      <c r="E256" s="1">
        <v>40.5</v>
      </c>
      <c r="F256" s="1">
        <f t="shared" si="294"/>
        <v>1073.2</v>
      </c>
      <c r="G256" s="1">
        <v>1024</v>
      </c>
      <c r="H256" s="1">
        <v>14</v>
      </c>
      <c r="I256" s="1">
        <f t="shared" si="257"/>
        <v>1038</v>
      </c>
      <c r="J256" s="1">
        <f t="shared" si="258"/>
        <v>1020</v>
      </c>
      <c r="K256" s="1">
        <f>IF(ISNA(VLOOKUP($CZ256,'Audit Values'!$A$2:$AE$439,2,FALSE)),'Preliminary SO66'!B253,VLOOKUP($CZ256,'Audit Values'!$A$2:$AE$439,31,FALSE))</f>
        <v>1020</v>
      </c>
      <c r="L256" s="1">
        <f t="shared" si="259"/>
        <v>1043.7</v>
      </c>
      <c r="M256" s="1">
        <f>IF(ISNA(VLOOKUP($CZ256,'Audit Values'!$A$2:$AE$439,2,FALSE)),'Preliminary SO66'!Z253,VLOOKUP($CZ256,'Audit Values'!$A$2:$AE$439,26,FALSE))</f>
        <v>30</v>
      </c>
      <c r="N256" s="1">
        <f t="shared" si="260"/>
        <v>1073.7</v>
      </c>
      <c r="O256" s="1">
        <f>IF(ISNA(VLOOKUP($CZ256,'Audit Values'!$A$2:$AE$439,2,FALSE)),'Preliminary SO66'!C253,IF(VLOOKUP($CZ256,'Audit Values'!$A$2:$AE$439,28,FALSE)="",VLOOKUP($CZ256,'Audit Values'!$A$2:$AE$439,3,FALSE),VLOOKUP($CZ256,'Audit Values'!$A$2:$AE$439,28,FALSE)))</f>
        <v>0</v>
      </c>
      <c r="P256" s="109">
        <f t="shared" si="261"/>
        <v>1020</v>
      </c>
      <c r="Q256" s="110">
        <f t="shared" si="262"/>
        <v>1020</v>
      </c>
      <c r="R256" s="111">
        <f t="shared" si="263"/>
        <v>1050</v>
      </c>
      <c r="S256" s="1">
        <f t="shared" si="264"/>
        <v>1073.7</v>
      </c>
      <c r="T256" s="1">
        <f t="shared" si="293"/>
        <v>0</v>
      </c>
      <c r="U256" s="1">
        <f t="shared" si="265"/>
        <v>237.6</v>
      </c>
      <c r="V256" s="1">
        <f t="shared" si="308"/>
        <v>237.6</v>
      </c>
      <c r="W256" s="1">
        <f t="shared" si="309"/>
        <v>0</v>
      </c>
      <c r="X256" s="1">
        <f>IF(ISNA(VLOOKUP($CZ256,'Audit Values'!$A$2:$AE$439,2,FALSE)),'Preliminary SO66'!D253,VLOOKUP($CZ256,'Audit Values'!$A$2:$AE$439,4,FALSE))</f>
        <v>350.5</v>
      </c>
      <c r="Y256" s="1">
        <f>ROUND((X256/6)*Weightings!$M$6,1)</f>
        <v>29.2</v>
      </c>
      <c r="Z256" s="1">
        <f>IF(ISNA(VLOOKUP($CZ256,'Audit Values'!$A$2:$AE$439,2,FALSE)),'Preliminary SO66'!F253,VLOOKUP($CZ256,'Audit Values'!$A$2:$AE$439,6,FALSE))</f>
        <v>1.8</v>
      </c>
      <c r="AA256" s="1">
        <f>ROUND((Z256/6)*Weightings!$M$7,1)</f>
        <v>0.1</v>
      </c>
      <c r="AB256" s="2">
        <f>IF(ISNA(VLOOKUP($CZ256,'Audit Values'!$A$2:$AE$439,2,FALSE)),'Preliminary SO66'!H253,VLOOKUP($CZ256,'Audit Values'!$A$2:$AE$439,8,FALSE))</f>
        <v>373</v>
      </c>
      <c r="AC256" s="1">
        <f>ROUND(AB256*Weightings!$M$8,1)</f>
        <v>170.1</v>
      </c>
      <c r="AD256" s="1">
        <f t="shared" si="304"/>
        <v>0</v>
      </c>
      <c r="AE256" s="185">
        <v>70</v>
      </c>
      <c r="AF256" s="1">
        <f>AE256*Weightings!$M$9</f>
        <v>3.3</v>
      </c>
      <c r="AG256" s="1">
        <f>IF(ISNA(VLOOKUP($CZ256,'Audit Values'!$A$2:$AE$439,2,FALSE)),'Preliminary SO66'!L253,VLOOKUP($CZ256,'Audit Values'!$A$2:$AE$439,12,FALSE))</f>
        <v>14.3</v>
      </c>
      <c r="AH256" s="1">
        <f>ROUND(AG256*Weightings!$M$10,1)</f>
        <v>3.6</v>
      </c>
      <c r="AI256" s="1">
        <f>IF(ISNA(VLOOKUP($CZ256,'Audit Values'!$A$2:$AE$439,2,FALSE)),'Preliminary SO66'!O253,VLOOKUP($CZ256,'Audit Values'!$A$2:$AE$439,15,FALSE))</f>
        <v>458</v>
      </c>
      <c r="AJ256" s="1">
        <f t="shared" si="266"/>
        <v>124.8</v>
      </c>
      <c r="AK256" s="1">
        <f>CC256/Weightings!$M$5</f>
        <v>0</v>
      </c>
      <c r="AL256" s="1">
        <f>CD256/Weightings!$M$5</f>
        <v>0</v>
      </c>
      <c r="AM256" s="1">
        <f>CH256/Weightings!$M$5</f>
        <v>0</v>
      </c>
      <c r="AN256" s="1">
        <f t="shared" si="310"/>
        <v>0</v>
      </c>
      <c r="AO256" s="1">
        <f>IF(ISNA(VLOOKUP($CZ256,'Audit Values'!$A$2:$AE$439,2,FALSE)),'Preliminary SO66'!X253,VLOOKUP($CZ256,'Audit Values'!$A$2:$AE$439,24,FALSE))</f>
        <v>1</v>
      </c>
      <c r="AP256" s="188">
        <v>955417</v>
      </c>
      <c r="AQ256" s="113">
        <f>AP256/Weightings!$M$5</f>
        <v>248.9</v>
      </c>
      <c r="AR256" s="113">
        <f t="shared" si="267"/>
        <v>1643.4</v>
      </c>
      <c r="AS256" s="1">
        <f t="shared" si="268"/>
        <v>1892.3</v>
      </c>
      <c r="AT256" s="1">
        <f t="shared" si="269"/>
        <v>1892.3</v>
      </c>
      <c r="AU256" s="2">
        <f t="shared" si="283"/>
        <v>0</v>
      </c>
      <c r="AV256" s="142">
        <f>IF(ISNA(VLOOKUP($CZ256,'Audit Values'!$A$2:$AC$360,2,FALSE)),"",IF(AND(Weightings!H256&gt;0,VLOOKUP($CZ256,'Audit Values'!$A$2:$AC$360,29,FALSE)&lt;Weightings!H256),Weightings!H256,VLOOKUP($CZ256,'Audit Values'!$A$2:$AC$360,29,FALSE)))</f>
        <v>26</v>
      </c>
      <c r="AW256" s="142" t="str">
        <f>IF(ISNA(VLOOKUP($CZ256,'Audit Values'!$A$2:$AD$360,2,FALSE)),"",VLOOKUP($CZ256,'Audit Values'!$A$2:$AD$360,30,FALSE))</f>
        <v>AM</v>
      </c>
      <c r="AX256" s="159" t="str">
        <f>IF(Weightings!G256="","",IF(Weightings!I256="Pending","PX","R"))</f>
        <v>R</v>
      </c>
      <c r="AY256" s="114">
        <f>AR256*Weightings!$M$5+AU256</f>
        <v>6307369</v>
      </c>
      <c r="AZ256" s="2">
        <f>AT256*Weightings!$M$5+AU256</f>
        <v>7262647</v>
      </c>
      <c r="BA256" s="2">
        <f>IF(Weightings!G256&gt;0,Weightings!G256,'Preliminary SO66'!AB253)</f>
        <v>7459921</v>
      </c>
      <c r="BB256" s="2">
        <f t="shared" si="270"/>
        <v>7262647</v>
      </c>
      <c r="BC256" s="124"/>
      <c r="BD256" s="124">
        <f>Weightings!E256</f>
        <v>0</v>
      </c>
      <c r="BE256" s="124">
        <f>Weightings!F256</f>
        <v>0</v>
      </c>
      <c r="BF256" s="2">
        <f t="shared" si="271"/>
        <v>0</v>
      </c>
      <c r="BG256" s="2">
        <f t="shared" si="272"/>
        <v>7262647</v>
      </c>
      <c r="BH256" s="2">
        <f>MAX(ROUND(((AR256-AO256)*4433)+AP256,0),ROUND(((AR256-AO256)*4433)+Weightings!B256,0))</f>
        <v>8236176</v>
      </c>
      <c r="BI256" s="174">
        <v>0.3</v>
      </c>
      <c r="BJ256" s="2">
        <f t="shared" si="298"/>
        <v>2470853</v>
      </c>
      <c r="BK256" s="173">
        <v>2475629</v>
      </c>
      <c r="BL256" s="2">
        <f t="shared" si="303"/>
        <v>2470853</v>
      </c>
      <c r="BM256" s="3">
        <f t="shared" si="284"/>
        <v>0.3</v>
      </c>
      <c r="BN256" s="1">
        <f t="shared" si="273"/>
        <v>0</v>
      </c>
      <c r="BO256" s="4" t="b">
        <f t="shared" si="274"/>
        <v>0</v>
      </c>
      <c r="BP256" s="5">
        <f t="shared" si="275"/>
        <v>0</v>
      </c>
      <c r="BQ256" s="6">
        <f t="shared" si="306"/>
        <v>0</v>
      </c>
      <c r="BR256" s="4">
        <f t="shared" si="276"/>
        <v>0</v>
      </c>
      <c r="BS256" s="4" t="b">
        <f t="shared" si="277"/>
        <v>1</v>
      </c>
      <c r="BT256" s="4">
        <f t="shared" si="278"/>
        <v>957.4538</v>
      </c>
      <c r="BU256" s="6">
        <f t="shared" si="307"/>
        <v>0.22132299999999999</v>
      </c>
      <c r="BV256" s="1">
        <f t="shared" si="279"/>
        <v>237.6</v>
      </c>
      <c r="BW256" s="1">
        <f t="shared" si="280"/>
        <v>0</v>
      </c>
      <c r="BX256" s="116">
        <v>550</v>
      </c>
      <c r="BY256" s="7">
        <f t="shared" si="285"/>
        <v>0.83</v>
      </c>
      <c r="BZ256" s="7">
        <f>IF(ROUND((Weightings!$P$5*BY256^Weightings!$P$6*Weightings!$P$8 ),2)&lt;Weightings!$P$7,Weightings!$P$7,ROUND((Weightings!$P$5*BY256^Weightings!$P$6*Weightings!$P$8 ),2))</f>
        <v>1045.76</v>
      </c>
      <c r="CA256" s="8">
        <f>ROUND(BZ256/Weightings!$M$5,4)</f>
        <v>0.27250000000000002</v>
      </c>
      <c r="CB256" s="1">
        <f t="shared" si="286"/>
        <v>124.8</v>
      </c>
      <c r="CC256" s="173">
        <v>0</v>
      </c>
      <c r="CD256" s="173">
        <v>0</v>
      </c>
      <c r="CE256" s="173">
        <v>0</v>
      </c>
      <c r="CF256" s="177">
        <v>0</v>
      </c>
      <c r="CG256" s="2">
        <f>AS256*Weightings!$M$5*CF256</f>
        <v>0</v>
      </c>
      <c r="CH256" s="2">
        <f t="shared" si="305"/>
        <v>0</v>
      </c>
      <c r="CI256" s="117">
        <f t="shared" si="281"/>
        <v>0.34699999999999998</v>
      </c>
      <c r="CJ256" s="4">
        <f t="shared" si="282"/>
        <v>2</v>
      </c>
      <c r="CK256" s="1">
        <f t="shared" si="287"/>
        <v>0</v>
      </c>
      <c r="CL256" s="1">
        <f t="shared" si="288"/>
        <v>0</v>
      </c>
      <c r="CM256" s="1">
        <f t="shared" si="289"/>
        <v>0</v>
      </c>
      <c r="CN256" s="1">
        <f>IF(ISNA(VLOOKUP($CZ256,'Audit Values'!$A$2:$AE$439,2,FALSE)),'Preliminary SO66'!T253,VLOOKUP($CZ256,'Audit Values'!$A$2:$AE$439,20,FALSE))</f>
        <v>0</v>
      </c>
      <c r="CO256" s="1">
        <f t="shared" si="311"/>
        <v>0</v>
      </c>
      <c r="CP256" s="183">
        <v>0</v>
      </c>
      <c r="CQ256" s="1">
        <f t="shared" si="312"/>
        <v>0</v>
      </c>
      <c r="CR256" s="2">
        <f>IF(ISNA(VLOOKUP($CZ256,'Audit Values'!$A$2:$AE$439,2,FALSE)),'Preliminary SO66'!V253,VLOOKUP($CZ256,'Audit Values'!$A$2:$AE$439,22,FALSE))</f>
        <v>0</v>
      </c>
      <c r="CS256" s="1">
        <f t="shared" si="313"/>
        <v>0</v>
      </c>
      <c r="CT256" s="2">
        <f>IF(ISNA(VLOOKUP($CZ256,'Audit Values'!$A$2:$AE$439,2,FALSE)),'Preliminary SO66'!W253,VLOOKUP($CZ256,'Audit Values'!$A$2:$AE$439,23,FALSE))</f>
        <v>0</v>
      </c>
      <c r="CU256" s="1">
        <f t="shared" si="301"/>
        <v>0</v>
      </c>
      <c r="CV256" s="1">
        <f t="shared" si="302"/>
        <v>0</v>
      </c>
      <c r="CW256" s="176">
        <v>0</v>
      </c>
      <c r="CX256" s="2">
        <f>IF(CW256&gt;0,Weightings!$M$11*AR256,0)</f>
        <v>0</v>
      </c>
      <c r="CY256" s="2">
        <f t="shared" si="290"/>
        <v>0</v>
      </c>
      <c r="CZ256" s="108" t="s">
        <v>548</v>
      </c>
    </row>
    <row r="257" spans="1:104">
      <c r="A257" s="82">
        <v>474</v>
      </c>
      <c r="B257" s="4" t="s">
        <v>99</v>
      </c>
      <c r="C257" s="4" t="s">
        <v>883</v>
      </c>
      <c r="D257" s="1">
        <v>116.5</v>
      </c>
      <c r="E257" s="1">
        <v>0</v>
      </c>
      <c r="F257" s="1">
        <f t="shared" si="294"/>
        <v>116.5</v>
      </c>
      <c r="G257" s="1">
        <v>118</v>
      </c>
      <c r="H257" s="1">
        <v>0</v>
      </c>
      <c r="I257" s="1">
        <f t="shared" si="257"/>
        <v>118</v>
      </c>
      <c r="J257" s="1">
        <f t="shared" si="258"/>
        <v>105</v>
      </c>
      <c r="K257" s="1">
        <f>IF(ISNA(VLOOKUP($CZ257,'Audit Values'!$A$2:$AE$439,2,FALSE)),'Preliminary SO66'!B254,VLOOKUP($CZ257,'Audit Values'!$A$2:$AE$439,31,FALSE))</f>
        <v>105</v>
      </c>
      <c r="L257" s="1">
        <f t="shared" si="259"/>
        <v>118</v>
      </c>
      <c r="M257" s="1">
        <f>IF(ISNA(VLOOKUP($CZ257,'Audit Values'!$A$2:$AE$439,2,FALSE)),'Preliminary SO66'!Z254,VLOOKUP($CZ257,'Audit Values'!$A$2:$AE$439,26,FALSE))</f>
        <v>0</v>
      </c>
      <c r="N257" s="1">
        <f t="shared" si="260"/>
        <v>118</v>
      </c>
      <c r="O257" s="1">
        <f>IF(ISNA(VLOOKUP($CZ257,'Audit Values'!$A$2:$AE$439,2,FALSE)),'Preliminary SO66'!C254,IF(VLOOKUP($CZ257,'Audit Values'!$A$2:$AE$439,28,FALSE)="",VLOOKUP($CZ257,'Audit Values'!$A$2:$AE$439,3,FALSE),VLOOKUP($CZ257,'Audit Values'!$A$2:$AE$439,28,FALSE)))</f>
        <v>0</v>
      </c>
      <c r="P257" s="109">
        <f t="shared" si="261"/>
        <v>105</v>
      </c>
      <c r="Q257" s="110">
        <f t="shared" si="262"/>
        <v>105</v>
      </c>
      <c r="R257" s="111">
        <f t="shared" si="263"/>
        <v>105</v>
      </c>
      <c r="S257" s="1">
        <f t="shared" si="264"/>
        <v>118</v>
      </c>
      <c r="T257" s="1">
        <f t="shared" si="293"/>
        <v>0</v>
      </c>
      <c r="U257" s="1">
        <f t="shared" si="265"/>
        <v>114.1</v>
      </c>
      <c r="V257" s="1">
        <f t="shared" si="308"/>
        <v>114.1</v>
      </c>
      <c r="W257" s="1">
        <f t="shared" si="309"/>
        <v>0</v>
      </c>
      <c r="X257" s="1">
        <f>IF(ISNA(VLOOKUP($CZ257,'Audit Values'!$A$2:$AE$439,2,FALSE)),'Preliminary SO66'!D254,VLOOKUP($CZ257,'Audit Values'!$A$2:$AE$439,4,FALSE))</f>
        <v>34.700000000000003</v>
      </c>
      <c r="Y257" s="1">
        <f>ROUND((X257/6)*Weightings!$M$6,1)</f>
        <v>2.9</v>
      </c>
      <c r="Z257" s="1">
        <f>IF(ISNA(VLOOKUP($CZ257,'Audit Values'!$A$2:$AE$439,2,FALSE)),'Preliminary SO66'!F254,VLOOKUP($CZ257,'Audit Values'!$A$2:$AE$439,6,FALSE))</f>
        <v>0</v>
      </c>
      <c r="AA257" s="1">
        <f>ROUND((Z257/6)*Weightings!$M$7,1)</f>
        <v>0</v>
      </c>
      <c r="AB257" s="2">
        <f>IF(ISNA(VLOOKUP($CZ257,'Audit Values'!$A$2:$AE$439,2,FALSE)),'Preliminary SO66'!H254,VLOOKUP($CZ257,'Audit Values'!$A$2:$AE$439,8,FALSE))</f>
        <v>29</v>
      </c>
      <c r="AC257" s="1">
        <f>ROUND(AB257*Weightings!$M$8,1)</f>
        <v>13.2</v>
      </c>
      <c r="AD257" s="1">
        <f t="shared" si="304"/>
        <v>0</v>
      </c>
      <c r="AE257" s="185">
        <v>4</v>
      </c>
      <c r="AF257" s="1">
        <f>AE257*Weightings!$M$9</f>
        <v>0.2</v>
      </c>
      <c r="AG257" s="1">
        <f>IF(ISNA(VLOOKUP($CZ257,'Audit Values'!$A$2:$AE$439,2,FALSE)),'Preliminary SO66'!L254,VLOOKUP($CZ257,'Audit Values'!$A$2:$AE$439,12,FALSE))</f>
        <v>0</v>
      </c>
      <c r="AH257" s="1">
        <f>ROUND(AG257*Weightings!$M$10,1)</f>
        <v>0</v>
      </c>
      <c r="AI257" s="1">
        <f>IF(ISNA(VLOOKUP($CZ257,'Audit Values'!$A$2:$AE$439,2,FALSE)),'Preliminary SO66'!O254,VLOOKUP($CZ257,'Audit Values'!$A$2:$AE$439,15,FALSE))</f>
        <v>49</v>
      </c>
      <c r="AJ257" s="1">
        <f t="shared" si="266"/>
        <v>18.3</v>
      </c>
      <c r="AK257" s="1">
        <f>CC257/Weightings!$M$5</f>
        <v>0</v>
      </c>
      <c r="AL257" s="1">
        <f>CD257/Weightings!$M$5</f>
        <v>0</v>
      </c>
      <c r="AM257" s="1">
        <f>CH257/Weightings!$M$5</f>
        <v>0</v>
      </c>
      <c r="AN257" s="1">
        <f t="shared" si="310"/>
        <v>0</v>
      </c>
      <c r="AO257" s="1">
        <f>IF(ISNA(VLOOKUP($CZ257,'Audit Values'!$A$2:$AE$439,2,FALSE)),'Preliminary SO66'!X254,VLOOKUP($CZ257,'Audit Values'!$A$2:$AE$439,24,FALSE))</f>
        <v>0</v>
      </c>
      <c r="AP257" s="188">
        <v>143640.99999999997</v>
      </c>
      <c r="AQ257" s="113">
        <f>AP257/Weightings!$M$5</f>
        <v>37.4</v>
      </c>
      <c r="AR257" s="113">
        <f t="shared" si="267"/>
        <v>266.7</v>
      </c>
      <c r="AS257" s="1">
        <f t="shared" si="268"/>
        <v>304.10000000000002</v>
      </c>
      <c r="AT257" s="1">
        <f t="shared" si="269"/>
        <v>304.10000000000002</v>
      </c>
      <c r="AU257" s="2">
        <f t="shared" si="283"/>
        <v>0</v>
      </c>
      <c r="AV257" s="82">
        <f>IF(ISNA(VLOOKUP($CZ257,'Audit Values'!$A$2:$AC$360,2,FALSE)),"",IF(AND(Weightings!H257&gt;0,VLOOKUP($CZ257,'Audit Values'!$A$2:$AC$360,29,FALSE)&lt;Weightings!H257),Weightings!H257,VLOOKUP($CZ257,'Audit Values'!$A$2:$AC$360,29,FALSE)))</f>
        <v>1</v>
      </c>
      <c r="AW257" s="82" t="str">
        <f>IF(ISNA(VLOOKUP($CZ257,'Audit Values'!$A$2:$AD$360,2,FALSE)),"",VLOOKUP($CZ257,'Audit Values'!$A$2:$AD$360,30,FALSE))</f>
        <v>A</v>
      </c>
      <c r="AX257" s="82" t="str">
        <f>IF(Weightings!G257="","",IF(Weightings!I257="Pending","PX","R"))</f>
        <v/>
      </c>
      <c r="AY257" s="114">
        <f>AR257*Weightings!$M$5+AU257</f>
        <v>1023595</v>
      </c>
      <c r="AZ257" s="2">
        <f>AT257*Weightings!$M$5+AU257</f>
        <v>1167136</v>
      </c>
      <c r="BA257" s="2">
        <f>IF(Weightings!G257&gt;0,Weightings!G257,'Preliminary SO66'!AB254)</f>
        <v>1220100</v>
      </c>
      <c r="BB257" s="2">
        <f t="shared" si="270"/>
        <v>1167136</v>
      </c>
      <c r="BC257" s="124"/>
      <c r="BD257" s="124">
        <f>Weightings!E257</f>
        <v>0</v>
      </c>
      <c r="BE257" s="124">
        <f>Weightings!F257</f>
        <v>0</v>
      </c>
      <c r="BF257" s="2">
        <f t="shared" si="271"/>
        <v>0</v>
      </c>
      <c r="BG257" s="2">
        <f t="shared" si="272"/>
        <v>1167136</v>
      </c>
      <c r="BH257" s="2">
        <f>MAX(ROUND(((AR257-AO257)*4433)+AP257,0),ROUND(((AR257-AO257)*4433)+Weightings!B257,0))</f>
        <v>1346026</v>
      </c>
      <c r="BI257" s="174">
        <v>0.3</v>
      </c>
      <c r="BJ257" s="2">
        <f t="shared" si="298"/>
        <v>403808</v>
      </c>
      <c r="BK257" s="173">
        <v>414075</v>
      </c>
      <c r="BL257" s="2">
        <f t="shared" si="303"/>
        <v>403808</v>
      </c>
      <c r="BM257" s="3">
        <f t="shared" si="284"/>
        <v>0.3</v>
      </c>
      <c r="BN257" s="1">
        <f t="shared" si="273"/>
        <v>0</v>
      </c>
      <c r="BO257" s="4" t="b">
        <f t="shared" si="274"/>
        <v>1</v>
      </c>
      <c r="BP257" s="5">
        <f t="shared" si="275"/>
        <v>173.79</v>
      </c>
      <c r="BQ257" s="6">
        <f t="shared" si="306"/>
        <v>0.96661799999999998</v>
      </c>
      <c r="BR257" s="4">
        <f t="shared" si="276"/>
        <v>114.1</v>
      </c>
      <c r="BS257" s="4" t="b">
        <f t="shared" si="277"/>
        <v>0</v>
      </c>
      <c r="BT257" s="4">
        <f t="shared" si="278"/>
        <v>0</v>
      </c>
      <c r="BU257" s="6">
        <f t="shared" si="307"/>
        <v>0</v>
      </c>
      <c r="BV257" s="1">
        <f t="shared" si="279"/>
        <v>0</v>
      </c>
      <c r="BW257" s="1">
        <f t="shared" si="280"/>
        <v>0</v>
      </c>
      <c r="BX257" s="116">
        <v>234.9</v>
      </c>
      <c r="BY257" s="7">
        <f t="shared" si="285"/>
        <v>0.21</v>
      </c>
      <c r="BZ257" s="7">
        <f>IF(ROUND((Weightings!$P$5*BY257^Weightings!$P$6*Weightings!$P$8 ),2)&lt;Weightings!$P$7,Weightings!$P$7,ROUND((Weightings!$P$5*BY257^Weightings!$P$6*Weightings!$P$8 ),2))</f>
        <v>1430.79</v>
      </c>
      <c r="CA257" s="8">
        <f>ROUND(BZ257/Weightings!$M$5,4)</f>
        <v>0.37280000000000002</v>
      </c>
      <c r="CB257" s="1">
        <f t="shared" si="286"/>
        <v>18.3</v>
      </c>
      <c r="CC257" s="173">
        <v>0</v>
      </c>
      <c r="CD257" s="173">
        <v>0</v>
      </c>
      <c r="CE257" s="173">
        <v>0</v>
      </c>
      <c r="CF257" s="177">
        <v>0</v>
      </c>
      <c r="CG257" s="2">
        <f>AS257*Weightings!$M$5*CF257</f>
        <v>0</v>
      </c>
      <c r="CH257" s="2">
        <f t="shared" si="305"/>
        <v>0</v>
      </c>
      <c r="CI257" s="117">
        <f t="shared" si="281"/>
        <v>0.246</v>
      </c>
      <c r="CJ257" s="4">
        <f t="shared" si="282"/>
        <v>0.5</v>
      </c>
      <c r="CK257" s="1">
        <f t="shared" si="287"/>
        <v>0</v>
      </c>
      <c r="CL257" s="1">
        <f t="shared" si="288"/>
        <v>0</v>
      </c>
      <c r="CM257" s="1">
        <f t="shared" si="289"/>
        <v>0</v>
      </c>
      <c r="CN257" s="1">
        <f>IF(ISNA(VLOOKUP($CZ257,'Audit Values'!$A$2:$AE$439,2,FALSE)),'Preliminary SO66'!T254,VLOOKUP($CZ257,'Audit Values'!$A$2:$AE$439,20,FALSE))</f>
        <v>0</v>
      </c>
      <c r="CO257" s="1">
        <f t="shared" si="311"/>
        <v>0</v>
      </c>
      <c r="CP257" s="183">
        <v>0</v>
      </c>
      <c r="CQ257" s="1">
        <f t="shared" si="312"/>
        <v>0</v>
      </c>
      <c r="CR257" s="2">
        <f>IF(ISNA(VLOOKUP($CZ257,'Audit Values'!$A$2:$AE$439,2,FALSE)),'Preliminary SO66'!V254,VLOOKUP($CZ257,'Audit Values'!$A$2:$AE$439,22,FALSE))</f>
        <v>0</v>
      </c>
      <c r="CS257" s="1">
        <f t="shared" si="313"/>
        <v>0</v>
      </c>
      <c r="CT257" s="2">
        <f>IF(ISNA(VLOOKUP($CZ257,'Audit Values'!$A$2:$AE$439,2,FALSE)),'Preliminary SO66'!W254,VLOOKUP($CZ257,'Audit Values'!$A$2:$AE$439,23,FALSE))</f>
        <v>0</v>
      </c>
      <c r="CU257" s="1">
        <f t="shared" si="301"/>
        <v>0</v>
      </c>
      <c r="CV257" s="1">
        <f t="shared" si="302"/>
        <v>0</v>
      </c>
      <c r="CW257" s="176">
        <v>0</v>
      </c>
      <c r="CX257" s="2">
        <f>IF(CW257&gt;0,Weightings!$M$11*AR257,0)</f>
        <v>0</v>
      </c>
      <c r="CY257" s="2">
        <f t="shared" si="290"/>
        <v>0</v>
      </c>
      <c r="CZ257" s="108" t="s">
        <v>549</v>
      </c>
    </row>
    <row r="258" spans="1:104">
      <c r="A258" s="82">
        <v>475</v>
      </c>
      <c r="B258" s="4" t="s">
        <v>107</v>
      </c>
      <c r="C258" s="4" t="s">
        <v>884</v>
      </c>
      <c r="D258" s="1">
        <v>7599.5</v>
      </c>
      <c r="E258" s="1">
        <v>577.1</v>
      </c>
      <c r="F258" s="1">
        <f t="shared" si="294"/>
        <v>8176.6</v>
      </c>
      <c r="G258" s="1">
        <v>7505.5</v>
      </c>
      <c r="H258" s="1">
        <v>502.2</v>
      </c>
      <c r="I258" s="1">
        <f t="shared" ref="I258:I285" si="314">G258+H258</f>
        <v>8007.7</v>
      </c>
      <c r="J258" s="1">
        <f t="shared" si="258"/>
        <v>7574.6</v>
      </c>
      <c r="K258" s="1">
        <f>IF(ISNA(VLOOKUP($CZ258,'Audit Values'!$A$2:$AE$439,2,FALSE)),'Preliminary SO66'!B255,VLOOKUP($CZ258,'Audit Values'!$A$2:$AE$439,31,FALSE))</f>
        <v>7570.6</v>
      </c>
      <c r="L258" s="1">
        <f t="shared" si="259"/>
        <v>8007.7</v>
      </c>
      <c r="M258" s="1">
        <f>IF(ISNA(VLOOKUP($CZ258,'Audit Values'!$A$2:$AE$439,2,FALSE)),'Preliminary SO66'!Z255,VLOOKUP($CZ258,'Audit Values'!$A$2:$AE$439,26,FALSE))</f>
        <v>502</v>
      </c>
      <c r="N258" s="1">
        <f t="shared" si="260"/>
        <v>8509.7000000000007</v>
      </c>
      <c r="O258" s="1">
        <f>IF(ISNA(VLOOKUP($CZ258,'Audit Values'!$A$2:$AE$439,2,FALSE)),'Preliminary SO66'!C255,IF(VLOOKUP($CZ258,'Audit Values'!$A$2:$AE$439,28,FALSE)="",VLOOKUP($CZ258,'Audit Values'!$A$2:$AE$439,3,FALSE),VLOOKUP($CZ258,'Audit Values'!$A$2:$AE$439,28,FALSE)))</f>
        <v>24</v>
      </c>
      <c r="P258" s="109">
        <f t="shared" si="261"/>
        <v>7594.6</v>
      </c>
      <c r="Q258" s="110">
        <f t="shared" si="262"/>
        <v>7598.6</v>
      </c>
      <c r="R258" s="111">
        <f t="shared" si="263"/>
        <v>8100.6</v>
      </c>
      <c r="S258" s="1">
        <f t="shared" si="264"/>
        <v>8533.7000000000007</v>
      </c>
      <c r="T258" s="1">
        <f t="shared" si="293"/>
        <v>4</v>
      </c>
      <c r="U258" s="1">
        <f t="shared" si="265"/>
        <v>299</v>
      </c>
      <c r="V258" s="1">
        <f t="shared" si="308"/>
        <v>0</v>
      </c>
      <c r="W258" s="1">
        <f t="shared" si="309"/>
        <v>299</v>
      </c>
      <c r="X258" s="1">
        <f>IF(ISNA(VLOOKUP($CZ258,'Audit Values'!$A$2:$AE$439,2,FALSE)),'Preliminary SO66'!D255,VLOOKUP($CZ258,'Audit Values'!$A$2:$AE$439,4,FALSE))</f>
        <v>869.4</v>
      </c>
      <c r="Y258" s="1">
        <f>ROUND((X258/6)*Weightings!$M$6,1)</f>
        <v>72.5</v>
      </c>
      <c r="Z258" s="1">
        <f>IF(ISNA(VLOOKUP($CZ258,'Audit Values'!$A$2:$AE$439,2,FALSE)),'Preliminary SO66'!F255,VLOOKUP($CZ258,'Audit Values'!$A$2:$AE$439,6,FALSE))</f>
        <v>1747.7</v>
      </c>
      <c r="AA258" s="1">
        <f>ROUND((Z258/6)*Weightings!$M$7,1)</f>
        <v>115.1</v>
      </c>
      <c r="AB258" s="2">
        <f>IF(ISNA(VLOOKUP($CZ258,'Audit Values'!$A$2:$AE$439,2,FALSE)),'Preliminary SO66'!H255,VLOOKUP($CZ258,'Audit Values'!$A$2:$AE$439,8,FALSE))</f>
        <v>3491</v>
      </c>
      <c r="AC258" s="1">
        <f>ROUND(AB258*Weightings!$M$8,1)</f>
        <v>1591.9</v>
      </c>
      <c r="AD258" s="1">
        <f t="shared" si="304"/>
        <v>144.19999999999999</v>
      </c>
      <c r="AE258" s="185">
        <v>781</v>
      </c>
      <c r="AF258" s="1">
        <f>AE258*Weightings!$M$9</f>
        <v>36.299999999999997</v>
      </c>
      <c r="AG258" s="1">
        <f>IF(ISNA(VLOOKUP($CZ258,'Audit Values'!$A$2:$AE$439,2,FALSE)),'Preliminary SO66'!L255,VLOOKUP($CZ258,'Audit Values'!$A$2:$AE$439,12,FALSE))</f>
        <v>778.8</v>
      </c>
      <c r="AH258" s="1">
        <f>ROUND(AG258*Weightings!$M$10,1)</f>
        <v>194.7</v>
      </c>
      <c r="AI258" s="1">
        <f>IF(ISNA(VLOOKUP($CZ258,'Audit Values'!$A$2:$AE$439,2,FALSE)),'Preliminary SO66'!O255,VLOOKUP($CZ258,'Audit Values'!$A$2:$AE$439,15,FALSE))</f>
        <v>2309</v>
      </c>
      <c r="AJ258" s="1">
        <f t="shared" si="266"/>
        <v>367.1</v>
      </c>
      <c r="AK258" s="1">
        <f>CC258/Weightings!$M$5</f>
        <v>0</v>
      </c>
      <c r="AL258" s="1">
        <f>CD258/Weightings!$M$5</f>
        <v>0</v>
      </c>
      <c r="AM258" s="1">
        <f>CH258/Weightings!$M$5</f>
        <v>0</v>
      </c>
      <c r="AN258" s="1">
        <f t="shared" si="310"/>
        <v>4.2</v>
      </c>
      <c r="AO258" s="1">
        <f>IF(ISNA(VLOOKUP($CZ258,'Audit Values'!$A$2:$AE$439,2,FALSE)),'Preliminary SO66'!X255,VLOOKUP($CZ258,'Audit Values'!$A$2:$AE$439,24,FALSE))</f>
        <v>1</v>
      </c>
      <c r="AP258" s="188">
        <v>7740255.0000000009</v>
      </c>
      <c r="AQ258" s="113">
        <f>AP258/Weightings!$M$5</f>
        <v>2016.7</v>
      </c>
      <c r="AR258" s="113">
        <f t="shared" si="267"/>
        <v>11359.7</v>
      </c>
      <c r="AS258" s="1">
        <f t="shared" si="268"/>
        <v>13376.4</v>
      </c>
      <c r="AT258" s="1">
        <f t="shared" si="269"/>
        <v>13376.4</v>
      </c>
      <c r="AU258" s="2">
        <f t="shared" si="283"/>
        <v>0</v>
      </c>
      <c r="AV258" s="142">
        <f>IF(ISNA(VLOOKUP($CZ258,'Audit Values'!$A$2:$AC$360,2,FALSE)),"",IF(AND(Weightings!H258&gt;0,VLOOKUP($CZ258,'Audit Values'!$A$2:$AC$360,29,FALSE)&lt;Weightings!H258),Weightings!H258,VLOOKUP($CZ258,'Audit Values'!$A$2:$AC$360,29,FALSE)))</f>
        <v>26</v>
      </c>
      <c r="AW258" s="142" t="str">
        <f>IF(ISNA(VLOOKUP($CZ258,'Audit Values'!$A$2:$AD$360,2,FALSE)),"",VLOOKUP($CZ258,'Audit Values'!$A$2:$AD$360,30,FALSE))</f>
        <v>AM</v>
      </c>
      <c r="AX258" s="159" t="str">
        <f>IF(Weightings!G258="","",IF(Weightings!I258="Pending","PX","R"))</f>
        <v>R</v>
      </c>
      <c r="AY258" s="114">
        <f>AR258*Weightings!$M$5+AU258</f>
        <v>43598529</v>
      </c>
      <c r="AZ258" s="2">
        <f>AT258*Weightings!$M$5+AU258</f>
        <v>51338623</v>
      </c>
      <c r="BA258" s="2">
        <f>IF(Weightings!G258&gt;0,Weightings!G258,'Preliminary SO66'!AB255)</f>
        <v>52000000</v>
      </c>
      <c r="BB258" s="2">
        <f t="shared" si="270"/>
        <v>51338623</v>
      </c>
      <c r="BC258" s="124"/>
      <c r="BD258" s="124">
        <f>Weightings!E258</f>
        <v>-8153</v>
      </c>
      <c r="BE258" s="124">
        <f>Weightings!F258</f>
        <v>0</v>
      </c>
      <c r="BF258" s="2">
        <f t="shared" si="271"/>
        <v>-8153</v>
      </c>
      <c r="BG258" s="2">
        <f t="shared" si="272"/>
        <v>51330470</v>
      </c>
      <c r="BH258" s="2">
        <f>MAX(ROUND(((AR258-AO258)*4433)+AP258,0),ROUND(((AR258-AO258)*4433)+Weightings!B258,0))</f>
        <v>58093372</v>
      </c>
      <c r="BI258" s="174">
        <v>0.3</v>
      </c>
      <c r="BJ258" s="2">
        <f t="shared" si="298"/>
        <v>17428012</v>
      </c>
      <c r="BK258" s="173">
        <v>12610000</v>
      </c>
      <c r="BL258" s="2">
        <f t="shared" si="303"/>
        <v>12610000</v>
      </c>
      <c r="BM258" s="3">
        <f t="shared" si="284"/>
        <v>0.21709999999999999</v>
      </c>
      <c r="BN258" s="1">
        <f t="shared" si="273"/>
        <v>0</v>
      </c>
      <c r="BO258" s="4" t="b">
        <f t="shared" si="274"/>
        <v>0</v>
      </c>
      <c r="BP258" s="5">
        <f t="shared" si="275"/>
        <v>0</v>
      </c>
      <c r="BQ258" s="6">
        <f t="shared" si="306"/>
        <v>0</v>
      </c>
      <c r="BR258" s="4">
        <f t="shared" si="276"/>
        <v>0</v>
      </c>
      <c r="BS258" s="4" t="b">
        <f t="shared" si="277"/>
        <v>0</v>
      </c>
      <c r="BT258" s="4">
        <f t="shared" si="278"/>
        <v>0</v>
      </c>
      <c r="BU258" s="6">
        <f t="shared" si="307"/>
        <v>0</v>
      </c>
      <c r="BV258" s="1">
        <f t="shared" si="279"/>
        <v>0</v>
      </c>
      <c r="BW258" s="1">
        <f t="shared" si="280"/>
        <v>299</v>
      </c>
      <c r="BX258" s="116">
        <v>262</v>
      </c>
      <c r="BY258" s="7">
        <f t="shared" si="285"/>
        <v>8.81</v>
      </c>
      <c r="BZ258" s="7">
        <f>IF(ROUND((Weightings!$P$5*BY258^Weightings!$P$6*Weightings!$P$8 ),2)&lt;Weightings!$P$7,Weightings!$P$7,ROUND((Weightings!$P$5*BY258^Weightings!$P$6*Weightings!$P$8 ),2))</f>
        <v>610.13</v>
      </c>
      <c r="CA258" s="8">
        <f>ROUND(BZ258/Weightings!$M$5,4)</f>
        <v>0.159</v>
      </c>
      <c r="CB258" s="1">
        <f t="shared" si="286"/>
        <v>367.1</v>
      </c>
      <c r="CC258" s="173">
        <v>0</v>
      </c>
      <c r="CD258" s="173">
        <v>0</v>
      </c>
      <c r="CE258" s="173">
        <v>0</v>
      </c>
      <c r="CF258" s="177">
        <v>0</v>
      </c>
      <c r="CG258" s="2">
        <f>AS258*Weightings!$M$5*CF258</f>
        <v>0</v>
      </c>
      <c r="CH258" s="2">
        <f t="shared" si="305"/>
        <v>0</v>
      </c>
      <c r="CI258" s="117">
        <f t="shared" si="281"/>
        <v>0.40899999999999997</v>
      </c>
      <c r="CJ258" s="4">
        <f t="shared" si="282"/>
        <v>32.6</v>
      </c>
      <c r="CK258" s="1">
        <f t="shared" si="287"/>
        <v>0</v>
      </c>
      <c r="CL258" s="1">
        <f t="shared" si="288"/>
        <v>0</v>
      </c>
      <c r="CM258" s="1">
        <f t="shared" si="289"/>
        <v>144.19999999999999</v>
      </c>
      <c r="CN258" s="1">
        <f>IF(ISNA(VLOOKUP($CZ258,'Audit Values'!$A$2:$AE$439,2,FALSE)),'Preliminary SO66'!T255,VLOOKUP($CZ258,'Audit Values'!$A$2:$AE$439,20,FALSE))</f>
        <v>4</v>
      </c>
      <c r="CO258" s="1">
        <f t="shared" si="311"/>
        <v>4.2</v>
      </c>
      <c r="CP258" s="183">
        <v>0</v>
      </c>
      <c r="CQ258" s="1">
        <f t="shared" si="312"/>
        <v>0</v>
      </c>
      <c r="CR258" s="2">
        <f>IF(ISNA(VLOOKUP($CZ258,'Audit Values'!$A$2:$AE$439,2,FALSE)),'Preliminary SO66'!V255,VLOOKUP($CZ258,'Audit Values'!$A$2:$AE$439,22,FALSE))</f>
        <v>0</v>
      </c>
      <c r="CS258" s="1">
        <f t="shared" si="313"/>
        <v>0</v>
      </c>
      <c r="CT258" s="2">
        <f>IF(ISNA(VLOOKUP($CZ258,'Audit Values'!$A$2:$AE$439,2,FALSE)),'Preliminary SO66'!W255,VLOOKUP($CZ258,'Audit Values'!$A$2:$AE$439,23,FALSE))</f>
        <v>0</v>
      </c>
      <c r="CU258" s="1">
        <f t="shared" si="301"/>
        <v>0</v>
      </c>
      <c r="CV258" s="1">
        <f t="shared" si="302"/>
        <v>4.2</v>
      </c>
      <c r="CW258" s="176">
        <v>0</v>
      </c>
      <c r="CX258" s="2">
        <f>IF(CW258&gt;0,Weightings!$M$11*AR258,0)</f>
        <v>0</v>
      </c>
      <c r="CY258" s="2">
        <f t="shared" si="290"/>
        <v>0</v>
      </c>
      <c r="CZ258" s="108" t="s">
        <v>550</v>
      </c>
    </row>
    <row r="259" spans="1:104">
      <c r="A259" s="82">
        <v>476</v>
      </c>
      <c r="B259" s="4" t="s">
        <v>7</v>
      </c>
      <c r="C259" s="4" t="s">
        <v>885</v>
      </c>
      <c r="D259" s="1">
        <v>116.4</v>
      </c>
      <c r="E259" s="1">
        <v>0</v>
      </c>
      <c r="F259" s="1">
        <f t="shared" si="294"/>
        <v>116.4</v>
      </c>
      <c r="G259" s="1">
        <v>137.69999999999999</v>
      </c>
      <c r="H259" s="1">
        <v>0</v>
      </c>
      <c r="I259" s="1">
        <f t="shared" si="314"/>
        <v>137.69999999999999</v>
      </c>
      <c r="J259" s="1">
        <f t="shared" si="258"/>
        <v>106.5</v>
      </c>
      <c r="K259" s="1">
        <f>IF(ISNA(VLOOKUP($CZ259,'Audit Values'!$A$2:$AE$439,2,FALSE)),'Preliminary SO66'!B256,VLOOKUP($CZ259,'Audit Values'!$A$2:$AE$439,31,FALSE))</f>
        <v>106.5</v>
      </c>
      <c r="L259" s="1">
        <f t="shared" si="259"/>
        <v>137.69999999999999</v>
      </c>
      <c r="M259" s="1">
        <f>IF(ISNA(VLOOKUP($CZ259,'Audit Values'!$A$2:$AE$439,2,FALSE)),'Preliminary SO66'!Z256,VLOOKUP($CZ259,'Audit Values'!$A$2:$AE$439,26,FALSE))</f>
        <v>0</v>
      </c>
      <c r="N259" s="1">
        <f t="shared" si="260"/>
        <v>137.69999999999999</v>
      </c>
      <c r="O259" s="1">
        <f>IF(ISNA(VLOOKUP($CZ259,'Audit Values'!$A$2:$AE$439,2,FALSE)),'Preliminary SO66'!C256,IF(VLOOKUP($CZ259,'Audit Values'!$A$2:$AE$439,28,FALSE)="",VLOOKUP($CZ259,'Audit Values'!$A$2:$AE$439,3,FALSE),VLOOKUP($CZ259,'Audit Values'!$A$2:$AE$439,28,FALSE)))</f>
        <v>3</v>
      </c>
      <c r="P259" s="109">
        <f t="shared" si="261"/>
        <v>109.5</v>
      </c>
      <c r="Q259" s="110">
        <f t="shared" si="262"/>
        <v>109.5</v>
      </c>
      <c r="R259" s="111">
        <f t="shared" si="263"/>
        <v>109.5</v>
      </c>
      <c r="S259" s="1">
        <f t="shared" si="264"/>
        <v>140.69999999999999</v>
      </c>
      <c r="T259" s="1">
        <f t="shared" si="293"/>
        <v>0</v>
      </c>
      <c r="U259" s="1">
        <f t="shared" si="265"/>
        <v>127.5</v>
      </c>
      <c r="V259" s="1">
        <f t="shared" si="308"/>
        <v>127.5</v>
      </c>
      <c r="W259" s="1">
        <f t="shared" si="309"/>
        <v>0</v>
      </c>
      <c r="X259" s="1">
        <f>IF(ISNA(VLOOKUP($CZ259,'Audit Values'!$A$2:$AE$439,2,FALSE)),'Preliminary SO66'!D256,VLOOKUP($CZ259,'Audit Values'!$A$2:$AE$439,4,FALSE))</f>
        <v>33.1</v>
      </c>
      <c r="Y259" s="1">
        <f>ROUND((X259/6)*Weightings!$M$6,1)</f>
        <v>2.8</v>
      </c>
      <c r="Z259" s="1">
        <f>IF(ISNA(VLOOKUP($CZ259,'Audit Values'!$A$2:$AE$439,2,FALSE)),'Preliminary SO66'!F256,VLOOKUP($CZ259,'Audit Values'!$A$2:$AE$439,6,FALSE))</f>
        <v>245.2</v>
      </c>
      <c r="AA259" s="1">
        <f>ROUND((Z259/6)*Weightings!$M$7,1)</f>
        <v>16.100000000000001</v>
      </c>
      <c r="AB259" s="2">
        <f>IF(ISNA(VLOOKUP($CZ259,'Audit Values'!$A$2:$AE$439,2,FALSE)),'Preliminary SO66'!H256,VLOOKUP($CZ259,'Audit Values'!$A$2:$AE$439,8,FALSE))</f>
        <v>34</v>
      </c>
      <c r="AC259" s="1">
        <f>ROUND(AB259*Weightings!$M$8,1)</f>
        <v>15.5</v>
      </c>
      <c r="AD259" s="1">
        <f t="shared" si="304"/>
        <v>0</v>
      </c>
      <c r="AE259" s="185">
        <v>7</v>
      </c>
      <c r="AF259" s="1">
        <f>AE259*Weightings!$M$9</f>
        <v>0.3</v>
      </c>
      <c r="AG259" s="1">
        <f>IF(ISNA(VLOOKUP($CZ259,'Audit Values'!$A$2:$AE$439,2,FALSE)),'Preliminary SO66'!L256,VLOOKUP($CZ259,'Audit Values'!$A$2:$AE$439,12,FALSE))</f>
        <v>0</v>
      </c>
      <c r="AH259" s="1">
        <f>ROUND(AG259*Weightings!$M$10,1)</f>
        <v>0</v>
      </c>
      <c r="AI259" s="1">
        <f>IF(ISNA(VLOOKUP($CZ259,'Audit Values'!$A$2:$AE$439,2,FALSE)),'Preliminary SO66'!O256,VLOOKUP($CZ259,'Audit Values'!$A$2:$AE$439,15,FALSE))</f>
        <v>52</v>
      </c>
      <c r="AJ259" s="1">
        <f t="shared" si="266"/>
        <v>18.5</v>
      </c>
      <c r="AK259" s="1">
        <f>CC259/Weightings!$M$5</f>
        <v>0</v>
      </c>
      <c r="AL259" s="1">
        <f>CD259/Weightings!$M$5</f>
        <v>0</v>
      </c>
      <c r="AM259" s="1">
        <f>CH259/Weightings!$M$5</f>
        <v>0</v>
      </c>
      <c r="AN259" s="1">
        <f t="shared" si="310"/>
        <v>0</v>
      </c>
      <c r="AO259" s="1">
        <f>IF(ISNA(VLOOKUP($CZ259,'Audit Values'!$A$2:$AE$439,2,FALSE)),'Preliminary SO66'!X256,VLOOKUP($CZ259,'Audit Values'!$A$2:$AE$439,24,FALSE))</f>
        <v>0</v>
      </c>
      <c r="AP259" s="188">
        <v>99489</v>
      </c>
      <c r="AQ259" s="113">
        <f>AP259/Weightings!$M$5</f>
        <v>25.9</v>
      </c>
      <c r="AR259" s="113">
        <f t="shared" si="267"/>
        <v>321.39999999999998</v>
      </c>
      <c r="AS259" s="1">
        <f t="shared" si="268"/>
        <v>347.3</v>
      </c>
      <c r="AT259" s="1">
        <f t="shared" si="269"/>
        <v>347.3</v>
      </c>
      <c r="AU259" s="2">
        <f t="shared" si="283"/>
        <v>0</v>
      </c>
      <c r="AV259" s="82">
        <f>IF(ISNA(VLOOKUP($CZ259,'Audit Values'!$A$2:$AC$360,2,FALSE)),"",IF(AND(Weightings!H259&gt;0,VLOOKUP($CZ259,'Audit Values'!$A$2:$AC$360,29,FALSE)&lt;Weightings!H259),Weightings!H259,VLOOKUP($CZ259,'Audit Values'!$A$2:$AC$360,29,FALSE)))</f>
        <v>15</v>
      </c>
      <c r="AW259" s="82" t="str">
        <f>IF(ISNA(VLOOKUP($CZ259,'Audit Values'!$A$2:$AD$360,2,FALSE)),"",VLOOKUP($CZ259,'Audit Values'!$A$2:$AD$360,30,FALSE))</f>
        <v>A</v>
      </c>
      <c r="AX259" s="82" t="str">
        <f>IF(Weightings!G259="","",IF(Weightings!I259="Pending","PX","R"))</f>
        <v/>
      </c>
      <c r="AY259" s="114">
        <f>AR259*Weightings!$M$5+AU259</f>
        <v>1233533</v>
      </c>
      <c r="AZ259" s="2">
        <f>AT259*Weightings!$M$5+AU259</f>
        <v>1332937</v>
      </c>
      <c r="BA259" s="2">
        <f>IF(Weightings!G259&gt;0,Weightings!G259,'Preliminary SO66'!AB256)</f>
        <v>1419292</v>
      </c>
      <c r="BB259" s="2">
        <f t="shared" si="270"/>
        <v>1332937</v>
      </c>
      <c r="BC259" s="124"/>
      <c r="BD259" s="124">
        <f>Weightings!E259</f>
        <v>0</v>
      </c>
      <c r="BE259" s="124">
        <f>Weightings!F259</f>
        <v>0</v>
      </c>
      <c r="BF259" s="2">
        <f t="shared" si="271"/>
        <v>0</v>
      </c>
      <c r="BG259" s="2">
        <f t="shared" si="272"/>
        <v>1332937</v>
      </c>
      <c r="BH259" s="2">
        <f>MAX(ROUND(((AR259-AO259)*4433)+AP259,0),ROUND(((AR259-AO259)*4433)+Weightings!B259,0))</f>
        <v>1526916</v>
      </c>
      <c r="BI259" s="174">
        <v>0.3</v>
      </c>
      <c r="BJ259" s="2">
        <f t="shared" si="298"/>
        <v>458075</v>
      </c>
      <c r="BK259" s="173">
        <v>486140</v>
      </c>
      <c r="BL259" s="2">
        <f t="shared" si="303"/>
        <v>458075</v>
      </c>
      <c r="BM259" s="3">
        <f t="shared" ref="BM259:BM290" si="315">BL259/BH259</f>
        <v>0.3</v>
      </c>
      <c r="BN259" s="1">
        <f t="shared" si="273"/>
        <v>0</v>
      </c>
      <c r="BO259" s="4" t="b">
        <f t="shared" si="274"/>
        <v>1</v>
      </c>
      <c r="BP259" s="5">
        <f t="shared" si="275"/>
        <v>392.959</v>
      </c>
      <c r="BQ259" s="6">
        <f t="shared" si="306"/>
        <v>0.906447</v>
      </c>
      <c r="BR259" s="4">
        <f t="shared" si="276"/>
        <v>127.5</v>
      </c>
      <c r="BS259" s="4" t="b">
        <f t="shared" si="277"/>
        <v>0</v>
      </c>
      <c r="BT259" s="4">
        <f t="shared" si="278"/>
        <v>0</v>
      </c>
      <c r="BU259" s="6">
        <f t="shared" si="307"/>
        <v>0</v>
      </c>
      <c r="BV259" s="1">
        <f t="shared" si="279"/>
        <v>0</v>
      </c>
      <c r="BW259" s="1">
        <f t="shared" si="280"/>
        <v>0</v>
      </c>
      <c r="BX259" s="116">
        <v>200</v>
      </c>
      <c r="BY259" s="7">
        <f t="shared" si="285"/>
        <v>0.26</v>
      </c>
      <c r="BZ259" s="7">
        <f>IF(ROUND((Weightings!$P$5*BY259^Weightings!$P$6*Weightings!$P$8 ),2)&lt;Weightings!$P$7,Weightings!$P$7,ROUND((Weightings!$P$5*BY259^Weightings!$P$6*Weightings!$P$8 ),2))</f>
        <v>1362.76</v>
      </c>
      <c r="CA259" s="8">
        <f>ROUND(BZ259/Weightings!$M$5,4)</f>
        <v>0.35510000000000003</v>
      </c>
      <c r="CB259" s="1">
        <f t="shared" si="286"/>
        <v>18.5</v>
      </c>
      <c r="CC259" s="173">
        <v>0</v>
      </c>
      <c r="CD259" s="173">
        <v>0</v>
      </c>
      <c r="CE259" s="173">
        <v>0</v>
      </c>
      <c r="CF259" s="177">
        <v>0</v>
      </c>
      <c r="CG259" s="2">
        <f>AS259*Weightings!$M$5*CF259</f>
        <v>0</v>
      </c>
      <c r="CH259" s="2">
        <f t="shared" si="305"/>
        <v>0</v>
      </c>
      <c r="CI259" s="117">
        <f t="shared" si="281"/>
        <v>0.24199999999999999</v>
      </c>
      <c r="CJ259" s="4">
        <f t="shared" si="282"/>
        <v>0.7</v>
      </c>
      <c r="CK259" s="1">
        <f t="shared" si="287"/>
        <v>0</v>
      </c>
      <c r="CL259" s="1">
        <f t="shared" si="288"/>
        <v>0</v>
      </c>
      <c r="CM259" s="1">
        <f t="shared" si="289"/>
        <v>0</v>
      </c>
      <c r="CN259" s="1">
        <f>IF(ISNA(VLOOKUP($CZ259,'Audit Values'!$A$2:$AE$439,2,FALSE)),'Preliminary SO66'!T256,VLOOKUP($CZ259,'Audit Values'!$A$2:$AE$439,20,FALSE))</f>
        <v>0</v>
      </c>
      <c r="CO259" s="1">
        <f t="shared" si="311"/>
        <v>0</v>
      </c>
      <c r="CP259" s="183">
        <v>0</v>
      </c>
      <c r="CQ259" s="1">
        <f t="shared" si="312"/>
        <v>0</v>
      </c>
      <c r="CR259" s="2">
        <f>IF(ISNA(VLOOKUP($CZ259,'Audit Values'!$A$2:$AE$439,2,FALSE)),'Preliminary SO66'!V256,VLOOKUP($CZ259,'Audit Values'!$A$2:$AE$439,22,FALSE))</f>
        <v>0</v>
      </c>
      <c r="CS259" s="1">
        <f t="shared" si="313"/>
        <v>0</v>
      </c>
      <c r="CT259" s="2">
        <f>IF(ISNA(VLOOKUP($CZ259,'Audit Values'!$A$2:$AE$439,2,FALSE)),'Preliminary SO66'!W256,VLOOKUP($CZ259,'Audit Values'!$A$2:$AE$439,23,FALSE))</f>
        <v>0</v>
      </c>
      <c r="CU259" s="1">
        <f t="shared" si="301"/>
        <v>0</v>
      </c>
      <c r="CV259" s="1">
        <f t="shared" si="302"/>
        <v>0</v>
      </c>
      <c r="CW259" s="176">
        <v>0</v>
      </c>
      <c r="CX259" s="2">
        <f>IF(CW259&gt;0,Weightings!$M$11*AR259,0)</f>
        <v>0</v>
      </c>
      <c r="CY259" s="2">
        <f t="shared" si="290"/>
        <v>0</v>
      </c>
      <c r="CZ259" s="108" t="s">
        <v>551</v>
      </c>
    </row>
    <row r="260" spans="1:104">
      <c r="A260" s="82">
        <v>477</v>
      </c>
      <c r="B260" s="4" t="s">
        <v>7</v>
      </c>
      <c r="C260" s="4" t="s">
        <v>886</v>
      </c>
      <c r="D260" s="1">
        <v>226</v>
      </c>
      <c r="E260" s="1">
        <v>0</v>
      </c>
      <c r="F260" s="1">
        <f t="shared" si="294"/>
        <v>226</v>
      </c>
      <c r="G260" s="1">
        <v>235</v>
      </c>
      <c r="H260" s="1">
        <v>0</v>
      </c>
      <c r="I260" s="1">
        <f t="shared" si="314"/>
        <v>235</v>
      </c>
      <c r="J260" s="1">
        <f t="shared" si="258"/>
        <v>221.9</v>
      </c>
      <c r="K260" s="1">
        <f>IF(ISNA(VLOOKUP($CZ260,'Audit Values'!$A$2:$AE$439,2,FALSE)),'Preliminary SO66'!B257,VLOOKUP($CZ260,'Audit Values'!$A$2:$AE$439,31,FALSE))</f>
        <v>221</v>
      </c>
      <c r="L260" s="1">
        <f t="shared" si="259"/>
        <v>235</v>
      </c>
      <c r="M260" s="1">
        <f>IF(ISNA(VLOOKUP($CZ260,'Audit Values'!$A$2:$AE$439,2,FALSE)),'Preliminary SO66'!Z257,VLOOKUP($CZ260,'Audit Values'!$A$2:$AE$439,26,FALSE))</f>
        <v>0</v>
      </c>
      <c r="N260" s="1">
        <f t="shared" si="260"/>
        <v>235</v>
      </c>
      <c r="O260" s="1">
        <f>IF(ISNA(VLOOKUP($CZ260,'Audit Values'!$A$2:$AE$439,2,FALSE)),'Preliminary SO66'!C257,IF(VLOOKUP($CZ260,'Audit Values'!$A$2:$AE$439,28,FALSE)="",VLOOKUP($CZ260,'Audit Values'!$A$2:$AE$439,3,FALSE),VLOOKUP($CZ260,'Audit Values'!$A$2:$AE$439,28,FALSE)))</f>
        <v>3</v>
      </c>
      <c r="P260" s="109">
        <f t="shared" si="261"/>
        <v>224</v>
      </c>
      <c r="Q260" s="110">
        <f t="shared" si="262"/>
        <v>224.9</v>
      </c>
      <c r="R260" s="111">
        <f t="shared" si="263"/>
        <v>224.9</v>
      </c>
      <c r="S260" s="1">
        <f t="shared" si="264"/>
        <v>238</v>
      </c>
      <c r="T260" s="1">
        <f t="shared" si="293"/>
        <v>0.9</v>
      </c>
      <c r="U260" s="1">
        <f t="shared" si="265"/>
        <v>154.4</v>
      </c>
      <c r="V260" s="1">
        <f t="shared" si="308"/>
        <v>154.4</v>
      </c>
      <c r="W260" s="1">
        <f t="shared" si="309"/>
        <v>0</v>
      </c>
      <c r="X260" s="1">
        <f>IF(ISNA(VLOOKUP($CZ260,'Audit Values'!$A$2:$AE$439,2,FALSE)),'Preliminary SO66'!D257,VLOOKUP($CZ260,'Audit Values'!$A$2:$AE$439,4,FALSE))</f>
        <v>0</v>
      </c>
      <c r="Y260" s="1">
        <f>ROUND((X260/6)*Weightings!$M$6,1)</f>
        <v>0</v>
      </c>
      <c r="Z260" s="1">
        <f>IF(ISNA(VLOOKUP($CZ260,'Audit Values'!$A$2:$AE$439,2,FALSE)),'Preliminary SO66'!F257,VLOOKUP($CZ260,'Audit Values'!$A$2:$AE$439,6,FALSE))</f>
        <v>184.2</v>
      </c>
      <c r="AA260" s="1">
        <f>ROUND((Z260/6)*Weightings!$M$7,1)</f>
        <v>12.1</v>
      </c>
      <c r="AB260" s="2">
        <f>IF(ISNA(VLOOKUP($CZ260,'Audit Values'!$A$2:$AE$439,2,FALSE)),'Preliminary SO66'!H257,VLOOKUP($CZ260,'Audit Values'!$A$2:$AE$439,8,FALSE))</f>
        <v>72</v>
      </c>
      <c r="AC260" s="1">
        <f>ROUND(AB260*Weightings!$M$8,1)</f>
        <v>32.799999999999997</v>
      </c>
      <c r="AD260" s="1">
        <f t="shared" si="304"/>
        <v>0</v>
      </c>
      <c r="AE260" s="185">
        <v>31</v>
      </c>
      <c r="AF260" s="1">
        <f>AE260*Weightings!$M$9</f>
        <v>1.4</v>
      </c>
      <c r="AG260" s="1">
        <f>IF(ISNA(VLOOKUP($CZ260,'Audit Values'!$A$2:$AE$439,2,FALSE)),'Preliminary SO66'!L257,VLOOKUP($CZ260,'Audit Values'!$A$2:$AE$439,12,FALSE))</f>
        <v>0</v>
      </c>
      <c r="AH260" s="1">
        <f>ROUND(AG260*Weightings!$M$10,1)</f>
        <v>0</v>
      </c>
      <c r="AI260" s="1">
        <f>IF(ISNA(VLOOKUP($CZ260,'Audit Values'!$A$2:$AE$439,2,FALSE)),'Preliminary SO66'!O257,VLOOKUP($CZ260,'Audit Values'!$A$2:$AE$439,15,FALSE))</f>
        <v>60</v>
      </c>
      <c r="AJ260" s="1">
        <f t="shared" si="266"/>
        <v>22.1</v>
      </c>
      <c r="AK260" s="1">
        <f>CC260/Weightings!$M$5</f>
        <v>0</v>
      </c>
      <c r="AL260" s="1">
        <f>CD260/Weightings!$M$5</f>
        <v>0</v>
      </c>
      <c r="AM260" s="1">
        <f>CH260/Weightings!$M$5</f>
        <v>0</v>
      </c>
      <c r="AN260" s="1">
        <f t="shared" si="310"/>
        <v>0.9</v>
      </c>
      <c r="AO260" s="1">
        <f>IF(ISNA(VLOOKUP($CZ260,'Audit Values'!$A$2:$AE$439,2,FALSE)),'Preliminary SO66'!X257,VLOOKUP($CZ260,'Audit Values'!$A$2:$AE$439,24,FALSE))</f>
        <v>0</v>
      </c>
      <c r="AP260" s="188">
        <v>165735</v>
      </c>
      <c r="AQ260" s="113">
        <f>AP260/Weightings!$M$5</f>
        <v>43.2</v>
      </c>
      <c r="AR260" s="113">
        <f t="shared" si="267"/>
        <v>461.7</v>
      </c>
      <c r="AS260" s="1">
        <f t="shared" si="268"/>
        <v>504.9</v>
      </c>
      <c r="AT260" s="1">
        <f t="shared" si="269"/>
        <v>504.9</v>
      </c>
      <c r="AU260" s="2">
        <f t="shared" si="283"/>
        <v>0</v>
      </c>
      <c r="AV260" s="82">
        <f>IF(ISNA(VLOOKUP($CZ260,'Audit Values'!$A$2:$AC$360,2,FALSE)),"",IF(AND(Weightings!H260&gt;0,VLOOKUP($CZ260,'Audit Values'!$A$2:$AC$360,29,FALSE)&lt;Weightings!H260),Weightings!H260,VLOOKUP($CZ260,'Audit Values'!$A$2:$AC$360,29,FALSE)))</f>
        <v>1</v>
      </c>
      <c r="AW260" s="82" t="str">
        <f>IF(ISNA(VLOOKUP($CZ260,'Audit Values'!$A$2:$AD$360,2,FALSE)),"",VLOOKUP($CZ260,'Audit Values'!$A$2:$AD$360,30,FALSE))</f>
        <v>A</v>
      </c>
      <c r="AX260" s="82" t="str">
        <f>IF(Weightings!G260="","",IF(Weightings!I260="Pending","PX","R"))</f>
        <v/>
      </c>
      <c r="AY260" s="114">
        <f>AR260*Weightings!$M$5+AU260</f>
        <v>1772005</v>
      </c>
      <c r="AZ260" s="2">
        <f>AT260*Weightings!$M$5+AU260</f>
        <v>1937806</v>
      </c>
      <c r="BA260" s="2">
        <f>IF(Weightings!G260&gt;0,Weightings!G260,'Preliminary SO66'!AB257)</f>
        <v>1989235</v>
      </c>
      <c r="BB260" s="2">
        <f t="shared" si="270"/>
        <v>1937806</v>
      </c>
      <c r="BC260" s="124"/>
      <c r="BD260" s="124">
        <f>Weightings!E260</f>
        <v>0</v>
      </c>
      <c r="BE260" s="124">
        <f>Weightings!F260</f>
        <v>0</v>
      </c>
      <c r="BF260" s="2">
        <f t="shared" si="271"/>
        <v>0</v>
      </c>
      <c r="BG260" s="2">
        <f t="shared" si="272"/>
        <v>1937806</v>
      </c>
      <c r="BH260" s="2">
        <f>MAX(ROUND(((AR260-AO260)*4433)+AP260,0),ROUND(((AR260-AO260)*4433)+Weightings!B260,0))</f>
        <v>2254675</v>
      </c>
      <c r="BI260" s="174">
        <v>0.3</v>
      </c>
      <c r="BJ260" s="2">
        <f t="shared" si="298"/>
        <v>676403</v>
      </c>
      <c r="BK260" s="173">
        <v>686377</v>
      </c>
      <c r="BL260" s="2">
        <f t="shared" si="303"/>
        <v>676403</v>
      </c>
      <c r="BM260" s="3">
        <f t="shared" si="315"/>
        <v>0.3</v>
      </c>
      <c r="BN260" s="1">
        <f t="shared" si="273"/>
        <v>0</v>
      </c>
      <c r="BO260" s="4" t="b">
        <f t="shared" si="274"/>
        <v>1</v>
      </c>
      <c r="BP260" s="5">
        <f t="shared" si="275"/>
        <v>1332.39</v>
      </c>
      <c r="BQ260" s="6">
        <f t="shared" si="306"/>
        <v>0.64853099999999997</v>
      </c>
      <c r="BR260" s="4">
        <f t="shared" si="276"/>
        <v>154.4</v>
      </c>
      <c r="BS260" s="4" t="b">
        <f t="shared" si="277"/>
        <v>0</v>
      </c>
      <c r="BT260" s="4">
        <f t="shared" si="278"/>
        <v>0</v>
      </c>
      <c r="BU260" s="6">
        <f t="shared" si="307"/>
        <v>0</v>
      </c>
      <c r="BV260" s="1">
        <f t="shared" si="279"/>
        <v>0</v>
      </c>
      <c r="BW260" s="1">
        <f t="shared" si="280"/>
        <v>0</v>
      </c>
      <c r="BX260" s="116">
        <v>267</v>
      </c>
      <c r="BY260" s="7">
        <f t="shared" si="285"/>
        <v>0.22</v>
      </c>
      <c r="BZ260" s="7">
        <f>IF(ROUND((Weightings!$P$5*BY260^Weightings!$P$6*Weightings!$P$8 ),2)&lt;Weightings!$P$7,Weightings!$P$7,ROUND((Weightings!$P$5*BY260^Weightings!$P$6*Weightings!$P$8 ),2))</f>
        <v>1415.69</v>
      </c>
      <c r="CA260" s="8">
        <f>ROUND(BZ260/Weightings!$M$5,4)</f>
        <v>0.36890000000000001</v>
      </c>
      <c r="CB260" s="1">
        <f t="shared" si="286"/>
        <v>22.1</v>
      </c>
      <c r="CC260" s="173">
        <v>0</v>
      </c>
      <c r="CD260" s="173">
        <v>0</v>
      </c>
      <c r="CE260" s="173">
        <v>0</v>
      </c>
      <c r="CF260" s="177">
        <v>0</v>
      </c>
      <c r="CG260" s="2">
        <f>AS260*Weightings!$M$5*CF260</f>
        <v>0</v>
      </c>
      <c r="CH260" s="2">
        <f t="shared" si="305"/>
        <v>0</v>
      </c>
      <c r="CI260" s="117">
        <f t="shared" si="281"/>
        <v>0.30299999999999999</v>
      </c>
      <c r="CJ260" s="4">
        <f t="shared" si="282"/>
        <v>0.9</v>
      </c>
      <c r="CK260" s="1">
        <f t="shared" si="287"/>
        <v>0</v>
      </c>
      <c r="CL260" s="1">
        <f t="shared" si="288"/>
        <v>0</v>
      </c>
      <c r="CM260" s="1">
        <f t="shared" si="289"/>
        <v>0</v>
      </c>
      <c r="CN260" s="1">
        <f>IF(ISNA(VLOOKUP($CZ260,'Audit Values'!$A$2:$AE$439,2,FALSE)),'Preliminary SO66'!T257,VLOOKUP($CZ260,'Audit Values'!$A$2:$AE$439,20,FALSE))</f>
        <v>0.9</v>
      </c>
      <c r="CO260" s="1">
        <f t="shared" si="311"/>
        <v>0.9</v>
      </c>
      <c r="CP260" s="183">
        <v>0</v>
      </c>
      <c r="CQ260" s="1">
        <f t="shared" si="312"/>
        <v>0</v>
      </c>
      <c r="CR260" s="2">
        <f>IF(ISNA(VLOOKUP($CZ260,'Audit Values'!$A$2:$AE$439,2,FALSE)),'Preliminary SO66'!V257,VLOOKUP($CZ260,'Audit Values'!$A$2:$AE$439,22,FALSE))</f>
        <v>0</v>
      </c>
      <c r="CS260" s="1">
        <f t="shared" si="313"/>
        <v>0</v>
      </c>
      <c r="CT260" s="2">
        <f>IF(ISNA(VLOOKUP($CZ260,'Audit Values'!$A$2:$AE$439,2,FALSE)),'Preliminary SO66'!W257,VLOOKUP($CZ260,'Audit Values'!$A$2:$AE$439,23,FALSE))</f>
        <v>0</v>
      </c>
      <c r="CU260" s="1">
        <f t="shared" si="301"/>
        <v>0</v>
      </c>
      <c r="CV260" s="1">
        <f t="shared" si="302"/>
        <v>0.9</v>
      </c>
      <c r="CW260" s="176">
        <v>0</v>
      </c>
      <c r="CX260" s="2">
        <f>IF(CW260&gt;0,Weightings!$M$11*AR260,0)</f>
        <v>0</v>
      </c>
      <c r="CY260" s="2">
        <f t="shared" si="290"/>
        <v>0</v>
      </c>
      <c r="CZ260" s="108" t="s">
        <v>552</v>
      </c>
    </row>
    <row r="261" spans="1:104">
      <c r="A261" s="82">
        <v>479</v>
      </c>
      <c r="B261" s="4" t="s">
        <v>73</v>
      </c>
      <c r="C261" s="4" t="s">
        <v>887</v>
      </c>
      <c r="D261" s="1">
        <v>194.5</v>
      </c>
      <c r="E261" s="1">
        <v>0</v>
      </c>
      <c r="F261" s="1">
        <f t="shared" si="294"/>
        <v>194.5</v>
      </c>
      <c r="G261" s="1">
        <v>201</v>
      </c>
      <c r="H261" s="1">
        <v>0</v>
      </c>
      <c r="I261" s="1">
        <f t="shared" si="314"/>
        <v>201</v>
      </c>
      <c r="J261" s="1">
        <f t="shared" ref="J261:J290" si="316">K261+T261</f>
        <v>204.5</v>
      </c>
      <c r="K261" s="1">
        <f>IF(ISNA(VLOOKUP($CZ261,'Audit Values'!$A$2:$AE$439,2,FALSE)),'Preliminary SO66'!B258,VLOOKUP($CZ261,'Audit Values'!$A$2:$AE$439,31,FALSE))</f>
        <v>204.5</v>
      </c>
      <c r="L261" s="1">
        <f t="shared" ref="L261:L290" si="317">MAX(K261, I261,AVERAGE(F261, I261, K261))</f>
        <v>204.5</v>
      </c>
      <c r="M261" s="1">
        <f>IF(ISNA(VLOOKUP($CZ261,'Audit Values'!$A$2:$AE$439,2,FALSE)),'Preliminary SO66'!Z258,VLOOKUP($CZ261,'Audit Values'!$A$2:$AE$439,26,FALSE))</f>
        <v>0</v>
      </c>
      <c r="N261" s="1">
        <f t="shared" ref="N261:N290" si="318">L261+M261</f>
        <v>204.5</v>
      </c>
      <c r="O261" s="1">
        <f>IF(ISNA(VLOOKUP($CZ261,'Audit Values'!$A$2:$AE$439,2,FALSE)),'Preliminary SO66'!C258,IF(VLOOKUP($CZ261,'Audit Values'!$A$2:$AE$439,28,FALSE)="",VLOOKUP($CZ261,'Audit Values'!$A$2:$AE$439,3,FALSE),VLOOKUP($CZ261,'Audit Values'!$A$2:$AE$439,28,FALSE)))</f>
        <v>3</v>
      </c>
      <c r="P261" s="109">
        <f t="shared" ref="P261:P290" si="319">K261+O261</f>
        <v>207.5</v>
      </c>
      <c r="Q261" s="110">
        <f t="shared" ref="Q261:Q290" si="320">J261+O261</f>
        <v>207.5</v>
      </c>
      <c r="R261" s="111">
        <f t="shared" ref="R261:R290" si="321">J261+O261+M261</f>
        <v>207.5</v>
      </c>
      <c r="S261" s="1">
        <f t="shared" ref="S261:S290" si="322">L261+M261+O261</f>
        <v>207.5</v>
      </c>
      <c r="T261" s="1">
        <f t="shared" si="293"/>
        <v>0</v>
      </c>
      <c r="U261" s="1">
        <f t="shared" ref="U261:U290" si="323">IF(L261&gt;0,MAX(BN261,BR261,BV261,BW261),0)</f>
        <v>151.30000000000001</v>
      </c>
      <c r="V261" s="1">
        <f>MAX(BN261,BR261,BV261)</f>
        <v>151.30000000000001</v>
      </c>
      <c r="W261" s="1">
        <f t="shared" si="309"/>
        <v>0</v>
      </c>
      <c r="X261" s="1">
        <f>IF(ISNA(VLOOKUP($CZ261,'Audit Values'!$A$2:$AE$439,2,FALSE)),'Preliminary SO66'!D258,VLOOKUP($CZ261,'Audit Values'!$A$2:$AE$439,4,FALSE))</f>
        <v>66.2</v>
      </c>
      <c r="Y261" s="1">
        <f>ROUND((X261/6)*Weightings!$M$6,1)</f>
        <v>5.5</v>
      </c>
      <c r="Z261" s="1">
        <f>IF(ISNA(VLOOKUP($CZ261,'Audit Values'!$A$2:$AE$439,2,FALSE)),'Preliminary SO66'!F258,VLOOKUP($CZ261,'Audit Values'!$A$2:$AE$439,6,FALSE))</f>
        <v>0</v>
      </c>
      <c r="AA261" s="1">
        <f>ROUND((Z261/6)*Weightings!$M$7,1)</f>
        <v>0</v>
      </c>
      <c r="AB261" s="2">
        <f>IF(ISNA(VLOOKUP($CZ261,'Audit Values'!$A$2:$AE$439,2,FALSE)),'Preliminary SO66'!H258,VLOOKUP($CZ261,'Audit Values'!$A$2:$AE$439,8,FALSE))</f>
        <v>91</v>
      </c>
      <c r="AC261" s="1">
        <f>ROUND(AB261*Weightings!$M$8,1)</f>
        <v>41.5</v>
      </c>
      <c r="AD261" s="1">
        <f t="shared" si="304"/>
        <v>5.7</v>
      </c>
      <c r="AE261" s="185">
        <v>17</v>
      </c>
      <c r="AF261" s="1">
        <f>AE261*Weightings!$M$9</f>
        <v>0.8</v>
      </c>
      <c r="AG261" s="1">
        <f>IF(ISNA(VLOOKUP($CZ261,'Audit Values'!$A$2:$AE$439,2,FALSE)),'Preliminary SO66'!L258,VLOOKUP($CZ261,'Audit Values'!$A$2:$AE$439,12,FALSE))</f>
        <v>0</v>
      </c>
      <c r="AH261" s="1">
        <f>ROUND(AG261*Weightings!$M$10,1)</f>
        <v>0</v>
      </c>
      <c r="AI261" s="1">
        <f>IF(ISNA(VLOOKUP($CZ261,'Audit Values'!$A$2:$AE$439,2,FALSE)),'Preliminary SO66'!O258,VLOOKUP($CZ261,'Audit Values'!$A$2:$AE$439,15,FALSE))</f>
        <v>90</v>
      </c>
      <c r="AJ261" s="1">
        <f t="shared" ref="AJ261:AJ290" si="324">CB261</f>
        <v>27.4</v>
      </c>
      <c r="AK261" s="1">
        <f>CC261/Weightings!$M$5</f>
        <v>0</v>
      </c>
      <c r="AL261" s="1">
        <f>CD261/Weightings!$M$5</f>
        <v>0</v>
      </c>
      <c r="AM261" s="1">
        <f>CH261/Weightings!$M$5</f>
        <v>0</v>
      </c>
      <c r="AN261" s="1">
        <f t="shared" si="310"/>
        <v>0</v>
      </c>
      <c r="AO261" s="1">
        <f>IF(ISNA(VLOOKUP($CZ261,'Audit Values'!$A$2:$AE$439,2,FALSE)),'Preliminary SO66'!X258,VLOOKUP($CZ261,'Audit Values'!$A$2:$AE$439,24,FALSE))</f>
        <v>0</v>
      </c>
      <c r="AP261" s="188">
        <v>276373</v>
      </c>
      <c r="AQ261" s="113">
        <f>AP261/Weightings!$M$5</f>
        <v>72</v>
      </c>
      <c r="AR261" s="113">
        <f t="shared" ref="AR261:AR290" si="325">SUM(S261+ U261+ Y261+ AA261+ AC261+ AH261+ AJ261+ AK261+ AL261+ AD261+AF261+AM261+AN261+AO261)</f>
        <v>439.7</v>
      </c>
      <c r="AS261" s="1">
        <f t="shared" ref="AS261:AS290" si="326">SUM(S261+U261+Y261+AA261+AC261+AH261+AJ261+AK261+AL261+AD261+AF261+AQ261+AN261+AO261)</f>
        <v>511.7</v>
      </c>
      <c r="AT261" s="1">
        <f t="shared" ref="AT261:AT290" si="327">SUM(S261+U261+Y261+AA261+AC261+AH261+AJ261+AK261+AL261+AQ261+AD261+AF261+AM261+AN261+AO261)</f>
        <v>511.7</v>
      </c>
      <c r="AU261" s="2">
        <f t="shared" si="283"/>
        <v>0</v>
      </c>
      <c r="AV261" s="82">
        <f>IF(ISNA(VLOOKUP($CZ261,'Audit Values'!$A$2:$AC$360,2,FALSE)),"",IF(AND(Weightings!H261&gt;0,VLOOKUP($CZ261,'Audit Values'!$A$2:$AC$360,29,FALSE)&lt;Weightings!H261),Weightings!H261,VLOOKUP($CZ261,'Audit Values'!$A$2:$AC$360,29,FALSE)))</f>
        <v>11</v>
      </c>
      <c r="AW261" s="82" t="str">
        <f>IF(ISNA(VLOOKUP($CZ261,'Audit Values'!$A$2:$AD$360,2,FALSE)),"",VLOOKUP($CZ261,'Audit Values'!$A$2:$AD$360,30,FALSE))</f>
        <v>A</v>
      </c>
      <c r="AX261" s="82" t="str">
        <f>IF(Weightings!G261="","",IF(Weightings!I261="Pending","PX","R"))</f>
        <v/>
      </c>
      <c r="AY261" s="114">
        <f>AR261*Weightings!$M$5+AU261</f>
        <v>1687569</v>
      </c>
      <c r="AZ261" s="2">
        <f>AT261*Weightings!$M$5+AU261</f>
        <v>1963905</v>
      </c>
      <c r="BA261" s="2">
        <f>IF(Weightings!G261&gt;0,Weightings!G261,'Preliminary SO66'!AB258)</f>
        <v>2170005</v>
      </c>
      <c r="BB261" s="2">
        <f t="shared" ref="BB261:BB290" si="328">MIN(AZ261,BA261)</f>
        <v>1963905</v>
      </c>
      <c r="BC261" s="124"/>
      <c r="BD261" s="124">
        <f>Weightings!E261</f>
        <v>0</v>
      </c>
      <c r="BE261" s="124">
        <f>Weightings!F261</f>
        <v>0</v>
      </c>
      <c r="BF261" s="2">
        <f t="shared" ref="BF261:BF290" si="329">SUM(BC261:BE261)</f>
        <v>0</v>
      </c>
      <c r="BG261" s="2">
        <f t="shared" ref="BG261:BG290" si="330">BB261+BF261</f>
        <v>1963905</v>
      </c>
      <c r="BH261" s="2">
        <f>MAX(ROUND(((AR261-AO261)*4433)+AP261,0),ROUND(((AR261-AO261)*4433)+Weightings!B261,0))</f>
        <v>2257827</v>
      </c>
      <c r="BI261" s="174">
        <v>0.3</v>
      </c>
      <c r="BJ261" s="2">
        <f t="shared" si="298"/>
        <v>677348</v>
      </c>
      <c r="BK261" s="173">
        <v>366000</v>
      </c>
      <c r="BL261" s="2">
        <f t="shared" si="303"/>
        <v>366000</v>
      </c>
      <c r="BM261" s="3">
        <f t="shared" si="315"/>
        <v>0.16209999999999999</v>
      </c>
      <c r="BN261" s="1">
        <f t="shared" ref="BN261:BN290" si="331">ROUND(IF(S261&lt;=99.9,(S261*1.014331),0),1)</f>
        <v>0</v>
      </c>
      <c r="BO261" s="4" t="b">
        <f t="shared" ref="BO261:BO290" si="332">AND(S261&gt;99.9,S261&lt;=299.9)</f>
        <v>1</v>
      </c>
      <c r="BP261" s="5">
        <f t="shared" ref="BP261:BP290" si="333">IF(BO261=TRUE,ROUND((S261-100)*9.655,3),0)</f>
        <v>1037.913</v>
      </c>
      <c r="BQ261" s="6">
        <f t="shared" si="306"/>
        <v>0.72937799999999997</v>
      </c>
      <c r="BR261" s="4">
        <f t="shared" ref="BR261:BR290" si="334">ROUND(S261*BQ261,1)</f>
        <v>151.30000000000001</v>
      </c>
      <c r="BS261" s="4" t="b">
        <f t="shared" ref="BS261:BS290" si="335">AND(S261&gt;299.9,S261&lt;=1621.9)</f>
        <v>0</v>
      </c>
      <c r="BT261" s="4">
        <f t="shared" ref="BT261:BT290" si="336">IF(BS261=TRUE,ROUND((S261-300)*1.2375,4),0)</f>
        <v>0</v>
      </c>
      <c r="BU261" s="6">
        <f t="shared" si="307"/>
        <v>0</v>
      </c>
      <c r="BV261" s="1">
        <f t="shared" ref="BV261:BV290" si="337">ROUND(BU261*S261,1)</f>
        <v>0</v>
      </c>
      <c r="BW261" s="1">
        <f t="shared" ref="BW261:BW290" si="338">ROUND(IF(S261&gt;=1622,(S261*0.03504),0),1)</f>
        <v>0</v>
      </c>
      <c r="BX261" s="116">
        <v>177</v>
      </c>
      <c r="BY261" s="7">
        <f t="shared" si="285"/>
        <v>0.51</v>
      </c>
      <c r="BZ261" s="7">
        <f>IF(ROUND((Weightings!$P$5*BY261^Weightings!$P$6*Weightings!$P$8 ),2)&lt;Weightings!$P$7,Weightings!$P$7,ROUND((Weightings!$P$5*BY261^Weightings!$P$6*Weightings!$P$8 ),2))</f>
        <v>1168.6300000000001</v>
      </c>
      <c r="CA261" s="8">
        <f>ROUND(BZ261/Weightings!$M$5,4)</f>
        <v>0.30449999999999999</v>
      </c>
      <c r="CB261" s="1">
        <f t="shared" si="286"/>
        <v>27.4</v>
      </c>
      <c r="CC261" s="173">
        <v>0</v>
      </c>
      <c r="CD261" s="173">
        <v>0</v>
      </c>
      <c r="CE261" s="173">
        <v>0</v>
      </c>
      <c r="CF261" s="177">
        <v>0</v>
      </c>
      <c r="CG261" s="2">
        <f>AS261*Weightings!$M$5*CF261</f>
        <v>0</v>
      </c>
      <c r="CH261" s="2">
        <f t="shared" si="305"/>
        <v>0</v>
      </c>
      <c r="CI261" s="117">
        <f t="shared" ref="CI261:CI290" si="339">ROUND(AB261/S261,3)</f>
        <v>0.439</v>
      </c>
      <c r="CJ261" s="4">
        <f t="shared" ref="CJ261:CJ290" si="340">ROUND(S261/BX261,1)</f>
        <v>1.2</v>
      </c>
      <c r="CK261" s="1">
        <f t="shared" si="287"/>
        <v>0</v>
      </c>
      <c r="CL261" s="1">
        <f t="shared" si="288"/>
        <v>0</v>
      </c>
      <c r="CM261" s="1">
        <f t="shared" si="289"/>
        <v>5.7</v>
      </c>
      <c r="CN261" s="1">
        <f>IF(ISNA(VLOOKUP($CZ261,'Audit Values'!$A$2:$AE$439,2,FALSE)),'Preliminary SO66'!T258,VLOOKUP($CZ261,'Audit Values'!$A$2:$AE$439,20,FALSE))</f>
        <v>0</v>
      </c>
      <c r="CO261" s="1">
        <f t="shared" si="311"/>
        <v>0</v>
      </c>
      <c r="CP261" s="183">
        <v>0</v>
      </c>
      <c r="CQ261" s="1">
        <f t="shared" si="312"/>
        <v>0</v>
      </c>
      <c r="CR261" s="2">
        <f>IF(ISNA(VLOOKUP($CZ261,'Audit Values'!$A$2:$AE$439,2,FALSE)),'Preliminary SO66'!V258,VLOOKUP($CZ261,'Audit Values'!$A$2:$AE$439,22,FALSE))</f>
        <v>0</v>
      </c>
      <c r="CS261" s="1">
        <f t="shared" si="313"/>
        <v>0</v>
      </c>
      <c r="CT261" s="2">
        <f>IF(ISNA(VLOOKUP($CZ261,'Audit Values'!$A$2:$AE$439,2,FALSE)),'Preliminary SO66'!W258,VLOOKUP($CZ261,'Audit Values'!$A$2:$AE$439,23,FALSE))</f>
        <v>0</v>
      </c>
      <c r="CU261" s="1">
        <f t="shared" si="301"/>
        <v>0</v>
      </c>
      <c r="CV261" s="1">
        <f t="shared" si="302"/>
        <v>0</v>
      </c>
      <c r="CW261" s="176">
        <v>0</v>
      </c>
      <c r="CX261" s="2">
        <f>IF(CW261&gt;0,Weightings!$M$11*AR261,0)</f>
        <v>0</v>
      </c>
      <c r="CY261" s="2">
        <f t="shared" si="290"/>
        <v>0</v>
      </c>
      <c r="CZ261" s="108" t="s">
        <v>553</v>
      </c>
    </row>
    <row r="262" spans="1:104">
      <c r="A262" s="82">
        <v>480</v>
      </c>
      <c r="B262" s="4" t="s">
        <v>108</v>
      </c>
      <c r="C262" s="4" t="s">
        <v>888</v>
      </c>
      <c r="D262" s="1">
        <v>4431</v>
      </c>
      <c r="E262" s="1">
        <v>0</v>
      </c>
      <c r="F262" s="1">
        <f t="shared" si="294"/>
        <v>4431</v>
      </c>
      <c r="G262" s="1">
        <v>4512.3</v>
      </c>
      <c r="H262" s="1">
        <v>0</v>
      </c>
      <c r="I262" s="1">
        <f t="shared" si="314"/>
        <v>4512.3</v>
      </c>
      <c r="J262" s="1">
        <f t="shared" si="316"/>
        <v>4536.1000000000004</v>
      </c>
      <c r="K262" s="1">
        <f>IF(ISNA(VLOOKUP($CZ262,'Audit Values'!$A$2:$AE$439,2,FALSE)),'Preliminary SO66'!B259,VLOOKUP($CZ262,'Audit Values'!$A$2:$AE$439,31,FALSE))</f>
        <v>4536.1000000000004</v>
      </c>
      <c r="L262" s="1">
        <f t="shared" si="317"/>
        <v>4536.1000000000004</v>
      </c>
      <c r="M262" s="1">
        <f>IF(ISNA(VLOOKUP($CZ262,'Audit Values'!$A$2:$AE$439,2,FALSE)),'Preliminary SO66'!Z259,VLOOKUP($CZ262,'Audit Values'!$A$2:$AE$439,26,FALSE))</f>
        <v>0</v>
      </c>
      <c r="N262" s="1">
        <f t="shared" si="318"/>
        <v>4536.1000000000004</v>
      </c>
      <c r="O262" s="1">
        <f>IF(ISNA(VLOOKUP($CZ262,'Audit Values'!$A$2:$AE$439,2,FALSE)),'Preliminary SO66'!C259,IF(VLOOKUP($CZ262,'Audit Values'!$A$2:$AE$439,28,FALSE)="",VLOOKUP($CZ262,'Audit Values'!$A$2:$AE$439,3,FALSE),VLOOKUP($CZ262,'Audit Values'!$A$2:$AE$439,28,FALSE)))</f>
        <v>85</v>
      </c>
      <c r="P262" s="109">
        <f t="shared" si="319"/>
        <v>4621.1000000000004</v>
      </c>
      <c r="Q262" s="110">
        <f t="shared" si="320"/>
        <v>4621.1000000000004</v>
      </c>
      <c r="R262" s="111">
        <f t="shared" si="321"/>
        <v>4621.1000000000004</v>
      </c>
      <c r="S262" s="1">
        <f t="shared" si="322"/>
        <v>4621.1000000000004</v>
      </c>
      <c r="T262" s="1">
        <f t="shared" si="293"/>
        <v>0</v>
      </c>
      <c r="U262" s="1">
        <f t="shared" si="323"/>
        <v>161.9</v>
      </c>
      <c r="V262" s="1">
        <f t="shared" si="308"/>
        <v>0</v>
      </c>
      <c r="W262" s="1">
        <f t="shared" si="309"/>
        <v>161.9</v>
      </c>
      <c r="X262" s="1">
        <f>IF(ISNA(VLOOKUP($CZ262,'Audit Values'!$A$2:$AE$439,2,FALSE)),'Preliminary SO66'!D259,VLOOKUP($CZ262,'Audit Values'!$A$2:$AE$439,4,FALSE))</f>
        <v>561.9</v>
      </c>
      <c r="Y262" s="1">
        <f>ROUND((X262/6)*Weightings!$M$6,1)</f>
        <v>46.8</v>
      </c>
      <c r="Z262" s="1">
        <f>IF(ISNA(VLOOKUP($CZ262,'Audit Values'!$A$2:$AE$439,2,FALSE)),'Preliminary SO66'!F259,VLOOKUP($CZ262,'Audit Values'!$A$2:$AE$439,6,FALSE))</f>
        <v>10249.6</v>
      </c>
      <c r="AA262" s="1">
        <f>ROUND((Z262/6)*Weightings!$M$7,1)</f>
        <v>674.8</v>
      </c>
      <c r="AB262" s="2">
        <f>IF(ISNA(VLOOKUP($CZ262,'Audit Values'!$A$2:$AE$439,2,FALSE)),'Preliminary SO66'!H259,VLOOKUP($CZ262,'Audit Values'!$A$2:$AE$439,8,FALSE))</f>
        <v>3266</v>
      </c>
      <c r="AC262" s="1">
        <f>ROUND(AB262*Weightings!$M$8,1)</f>
        <v>1489.3</v>
      </c>
      <c r="AD262" s="1">
        <f t="shared" si="304"/>
        <v>342.9</v>
      </c>
      <c r="AE262" s="185">
        <v>318</v>
      </c>
      <c r="AF262" s="1">
        <f>AE262*Weightings!$M$9</f>
        <v>14.8</v>
      </c>
      <c r="AG262" s="1">
        <f>IF(ISNA(VLOOKUP($CZ262,'Audit Values'!$A$2:$AE$439,2,FALSE)),'Preliminary SO66'!L259,VLOOKUP($CZ262,'Audit Values'!$A$2:$AE$439,12,FALSE))</f>
        <v>0</v>
      </c>
      <c r="AH262" s="1">
        <f>ROUND(AG262*Weightings!$M$10,1)</f>
        <v>0</v>
      </c>
      <c r="AI262" s="1">
        <f>IF(ISNA(VLOOKUP($CZ262,'Audit Values'!$A$2:$AE$439,2,FALSE)),'Preliminary SO66'!O259,VLOOKUP($CZ262,'Audit Values'!$A$2:$AE$439,15,FALSE))</f>
        <v>138</v>
      </c>
      <c r="AJ262" s="1">
        <f t="shared" si="324"/>
        <v>39.5</v>
      </c>
      <c r="AK262" s="1">
        <f>CC262/Weightings!$M$5</f>
        <v>0</v>
      </c>
      <c r="AL262" s="1">
        <f>CD262/Weightings!$M$5</f>
        <v>0</v>
      </c>
      <c r="AM262" s="1">
        <f>CH262/Weightings!$M$5</f>
        <v>0</v>
      </c>
      <c r="AN262" s="1">
        <f t="shared" si="310"/>
        <v>0</v>
      </c>
      <c r="AO262" s="1">
        <f>IF(ISNA(VLOOKUP($CZ262,'Audit Values'!$A$2:$AE$439,2,FALSE)),'Preliminary SO66'!X259,VLOOKUP($CZ262,'Audit Values'!$A$2:$AE$439,24,FALSE))</f>
        <v>2</v>
      </c>
      <c r="AP262" s="188">
        <v>2596280</v>
      </c>
      <c r="AQ262" s="113">
        <f>AP262/Weightings!$M$5</f>
        <v>676.5</v>
      </c>
      <c r="AR262" s="113">
        <f t="shared" si="325"/>
        <v>7393.1</v>
      </c>
      <c r="AS262" s="1">
        <f t="shared" si="326"/>
        <v>8069.6</v>
      </c>
      <c r="AT262" s="1">
        <f t="shared" si="327"/>
        <v>8069.6</v>
      </c>
      <c r="AU262" s="2">
        <f t="shared" ref="AU262:AU285" si="341">CY262</f>
        <v>0</v>
      </c>
      <c r="AV262" s="82">
        <f>IF(ISNA(VLOOKUP($CZ262,'Audit Values'!$A$2:$AC$360,2,FALSE)),"",IF(AND(Weightings!H262&gt;0,VLOOKUP($CZ262,'Audit Values'!$A$2:$AC$360,29,FALSE)&lt;Weightings!H262),Weightings!H262,VLOOKUP($CZ262,'Audit Values'!$A$2:$AC$360,29,FALSE)))</f>
        <v>16</v>
      </c>
      <c r="AW262" s="82" t="str">
        <f>IF(ISNA(VLOOKUP($CZ262,'Audit Values'!$A$2:$AD$360,2,FALSE)),"",VLOOKUP($CZ262,'Audit Values'!$A$2:$AD$360,30,FALSE))</f>
        <v>A</v>
      </c>
      <c r="AX262" s="82" t="str">
        <f>IF(Weightings!G262="","",IF(Weightings!I262="Pending","PX","R"))</f>
        <v>R</v>
      </c>
      <c r="AY262" s="114">
        <f>AR262*Weightings!$M$5+AU262</f>
        <v>28374718</v>
      </c>
      <c r="AZ262" s="2">
        <f>AT262*Weightings!$M$5+AU262</f>
        <v>30971125</v>
      </c>
      <c r="BA262" s="2">
        <f>IF(Weightings!G262&gt;0,Weightings!G262,'Preliminary SO66'!AB259)</f>
        <v>31169549</v>
      </c>
      <c r="BB262" s="2">
        <f t="shared" si="328"/>
        <v>30971125</v>
      </c>
      <c r="BC262" s="124"/>
      <c r="BD262" s="124">
        <f>Weightings!E262</f>
        <v>-2096</v>
      </c>
      <c r="BE262" s="124">
        <f>Weightings!F262</f>
        <v>0</v>
      </c>
      <c r="BF262" s="2">
        <f t="shared" si="329"/>
        <v>-2096</v>
      </c>
      <c r="BG262" s="2">
        <f t="shared" si="330"/>
        <v>30969029</v>
      </c>
      <c r="BH262" s="2">
        <f>MAX(ROUND(((AR262-AO262)*4433)+AP262,0),ROUND(((AR262-AO262)*4433)+Weightings!B262,0))</f>
        <v>35361026</v>
      </c>
      <c r="BI262" s="174">
        <v>0.3</v>
      </c>
      <c r="BJ262" s="2">
        <f t="shared" si="298"/>
        <v>10608308</v>
      </c>
      <c r="BK262" s="173">
        <v>6800000</v>
      </c>
      <c r="BL262" s="2">
        <f t="shared" si="303"/>
        <v>6800000</v>
      </c>
      <c r="BM262" s="3">
        <f t="shared" si="315"/>
        <v>0.1923</v>
      </c>
      <c r="BN262" s="1">
        <f t="shared" si="331"/>
        <v>0</v>
      </c>
      <c r="BO262" s="4" t="b">
        <f t="shared" si="332"/>
        <v>0</v>
      </c>
      <c r="BP262" s="5">
        <f t="shared" si="333"/>
        <v>0</v>
      </c>
      <c r="BQ262" s="6">
        <f t="shared" si="306"/>
        <v>0</v>
      </c>
      <c r="BR262" s="4">
        <f t="shared" si="334"/>
        <v>0</v>
      </c>
      <c r="BS262" s="4" t="b">
        <f t="shared" si="335"/>
        <v>0</v>
      </c>
      <c r="BT262" s="4">
        <f t="shared" si="336"/>
        <v>0</v>
      </c>
      <c r="BU262" s="6">
        <f t="shared" si="307"/>
        <v>0</v>
      </c>
      <c r="BV262" s="1">
        <f t="shared" si="337"/>
        <v>0</v>
      </c>
      <c r="BW262" s="1">
        <f t="shared" si="338"/>
        <v>161.9</v>
      </c>
      <c r="BX262" s="116">
        <v>205</v>
      </c>
      <c r="BY262" s="7">
        <f t="shared" ref="BY262:BY290" si="342">AI262/BX262</f>
        <v>0.67</v>
      </c>
      <c r="BZ262" s="7">
        <f>IF(ROUND((Weightings!$P$5*BY262^Weightings!$P$6*Weightings!$P$8 ),2)&lt;Weightings!$P$7,Weightings!$P$7,ROUND((Weightings!$P$5*BY262^Weightings!$P$6*Weightings!$P$8 ),2))</f>
        <v>1098.1099999999999</v>
      </c>
      <c r="CA262" s="8">
        <f>ROUND(BZ262/Weightings!$M$5,4)</f>
        <v>0.28610000000000002</v>
      </c>
      <c r="CB262" s="1">
        <f t="shared" ref="CB262:CB290" si="343">ROUND(IF(AI262&gt;0,CA262*AI262,0),1)</f>
        <v>39.5</v>
      </c>
      <c r="CC262" s="173">
        <v>0</v>
      </c>
      <c r="CD262" s="173">
        <v>0</v>
      </c>
      <c r="CE262" s="173">
        <v>0</v>
      </c>
      <c r="CF262" s="177">
        <v>0</v>
      </c>
      <c r="CG262" s="2">
        <f>AS262*Weightings!$M$5*CF262</f>
        <v>0</v>
      </c>
      <c r="CH262" s="2">
        <f t="shared" si="305"/>
        <v>0</v>
      </c>
      <c r="CI262" s="117">
        <f t="shared" si="339"/>
        <v>0.70699999999999996</v>
      </c>
      <c r="CJ262" s="4">
        <f t="shared" si="340"/>
        <v>22.5</v>
      </c>
      <c r="CK262" s="1">
        <f t="shared" ref="CK262:CK290" si="344">IF(CI262&gt;=50%,AB262*10.5%,0)</f>
        <v>342.9</v>
      </c>
      <c r="CL262" s="1">
        <f t="shared" ref="CL262:CL290" si="345">IF(AND(CI262&gt;=35.1%,CJ262&gt;212),AB262*0.105,0)</f>
        <v>0</v>
      </c>
      <c r="CM262" s="1">
        <f t="shared" ref="CM262:CM290" si="346">IF(AND((CI262-0.35)&gt;0,CI262&lt;0.5),AB262*(CI262-0.35)*0.7,0)</f>
        <v>0</v>
      </c>
      <c r="CN262" s="1">
        <f>IF(ISNA(VLOOKUP($CZ262,'Audit Values'!$A$2:$AE$439,2,FALSE)),'Preliminary SO66'!T259,VLOOKUP($CZ262,'Audit Values'!$A$2:$AE$439,20,FALSE))</f>
        <v>0</v>
      </c>
      <c r="CO262" s="1">
        <f t="shared" si="311"/>
        <v>0</v>
      </c>
      <c r="CP262" s="183">
        <v>0</v>
      </c>
      <c r="CQ262" s="1">
        <f t="shared" si="312"/>
        <v>0</v>
      </c>
      <c r="CR262" s="2">
        <f>IF(ISNA(VLOOKUP($CZ262,'Audit Values'!$A$2:$AE$439,2,FALSE)),'Preliminary SO66'!V259,VLOOKUP($CZ262,'Audit Values'!$A$2:$AE$439,22,FALSE))</f>
        <v>0</v>
      </c>
      <c r="CS262" s="1">
        <f t="shared" si="313"/>
        <v>0</v>
      </c>
      <c r="CT262" s="2">
        <f>IF(ISNA(VLOOKUP($CZ262,'Audit Values'!$A$2:$AE$439,2,FALSE)),'Preliminary SO66'!W259,VLOOKUP($CZ262,'Audit Values'!$A$2:$AE$439,23,FALSE))</f>
        <v>0</v>
      </c>
      <c r="CU262" s="1">
        <f t="shared" si="301"/>
        <v>0</v>
      </c>
      <c r="CV262" s="1">
        <f t="shared" si="302"/>
        <v>0</v>
      </c>
      <c r="CW262" s="176">
        <v>0</v>
      </c>
      <c r="CX262" s="2">
        <f>IF(CW262&gt;0,Weightings!$M$11*AR262,0)</f>
        <v>0</v>
      </c>
      <c r="CY262" s="2">
        <f t="shared" ref="CY262:CY290" si="347">MIN(CW262,CX262)</f>
        <v>0</v>
      </c>
      <c r="CZ262" s="108" t="s">
        <v>554</v>
      </c>
    </row>
    <row r="263" spans="1:104">
      <c r="A263" s="82">
        <v>481</v>
      </c>
      <c r="B263" s="4" t="s">
        <v>89</v>
      </c>
      <c r="C263" s="4" t="s">
        <v>889</v>
      </c>
      <c r="D263" s="1">
        <v>357</v>
      </c>
      <c r="E263" s="1">
        <v>8</v>
      </c>
      <c r="F263" s="1">
        <f t="shared" si="294"/>
        <v>365</v>
      </c>
      <c r="G263" s="1">
        <v>318.5</v>
      </c>
      <c r="H263" s="1">
        <v>0</v>
      </c>
      <c r="I263" s="1">
        <f t="shared" si="314"/>
        <v>318.5</v>
      </c>
      <c r="J263" s="1">
        <f t="shared" si="316"/>
        <v>306</v>
      </c>
      <c r="K263" s="1">
        <f>IF(ISNA(VLOOKUP($CZ263,'Audit Values'!$A$2:$AE$439,2,FALSE)),'Preliminary SO66'!B260,VLOOKUP($CZ263,'Audit Values'!$A$2:$AE$439,31,FALSE))</f>
        <v>306</v>
      </c>
      <c r="L263" s="1">
        <f t="shared" si="317"/>
        <v>329.8</v>
      </c>
      <c r="M263" s="1">
        <f>IF(ISNA(VLOOKUP($CZ263,'Audit Values'!$A$2:$AE$439,2,FALSE)),'Preliminary SO66'!Z260,VLOOKUP($CZ263,'Audit Values'!$A$2:$AE$439,26,FALSE))</f>
        <v>3.5</v>
      </c>
      <c r="N263" s="1">
        <f t="shared" si="318"/>
        <v>333.3</v>
      </c>
      <c r="O263" s="1">
        <f>IF(ISNA(VLOOKUP($CZ263,'Audit Values'!$A$2:$AE$439,2,FALSE)),'Preliminary SO66'!C260,IF(VLOOKUP($CZ263,'Audit Values'!$A$2:$AE$439,28,FALSE)="",VLOOKUP($CZ263,'Audit Values'!$A$2:$AE$439,3,FALSE),VLOOKUP($CZ263,'Audit Values'!$A$2:$AE$439,28,FALSE)))</f>
        <v>6</v>
      </c>
      <c r="P263" s="109">
        <f t="shared" si="319"/>
        <v>312</v>
      </c>
      <c r="Q263" s="110">
        <f t="shared" si="320"/>
        <v>312</v>
      </c>
      <c r="R263" s="111">
        <f t="shared" si="321"/>
        <v>315.5</v>
      </c>
      <c r="S263" s="1">
        <f t="shared" si="322"/>
        <v>339.3</v>
      </c>
      <c r="T263" s="1">
        <f t="shared" si="293"/>
        <v>0</v>
      </c>
      <c r="U263" s="1">
        <f t="shared" si="323"/>
        <v>159.80000000000001</v>
      </c>
      <c r="V263" s="1">
        <f t="shared" si="308"/>
        <v>159.80000000000001</v>
      </c>
      <c r="W263" s="1">
        <f t="shared" si="309"/>
        <v>0</v>
      </c>
      <c r="X263" s="1">
        <f>IF(ISNA(VLOOKUP($CZ263,'Audit Values'!$A$2:$AE$439,2,FALSE)),'Preliminary SO66'!D260,VLOOKUP($CZ263,'Audit Values'!$A$2:$AE$439,4,FALSE))</f>
        <v>151</v>
      </c>
      <c r="Y263" s="1">
        <f>ROUND((X263/6)*Weightings!$M$6,1)</f>
        <v>12.6</v>
      </c>
      <c r="Z263" s="1">
        <f>IF(ISNA(VLOOKUP($CZ263,'Audit Values'!$A$2:$AE$439,2,FALSE)),'Preliminary SO66'!F260,VLOOKUP($CZ263,'Audit Values'!$A$2:$AE$439,6,FALSE))</f>
        <v>0</v>
      </c>
      <c r="AA263" s="1">
        <f>ROUND((Z263/6)*Weightings!$M$7,1)</f>
        <v>0</v>
      </c>
      <c r="AB263" s="2">
        <f>IF(ISNA(VLOOKUP($CZ263,'Audit Values'!$A$2:$AE$439,2,FALSE)),'Preliminary SO66'!H260,VLOOKUP($CZ263,'Audit Values'!$A$2:$AE$439,8,FALSE))</f>
        <v>125</v>
      </c>
      <c r="AC263" s="1">
        <f>ROUND(AB263*Weightings!$M$8,1)</f>
        <v>57</v>
      </c>
      <c r="AD263" s="1">
        <f t="shared" si="304"/>
        <v>1.6</v>
      </c>
      <c r="AE263" s="185">
        <v>26</v>
      </c>
      <c r="AF263" s="1">
        <f>AE263*Weightings!$M$9</f>
        <v>1.2</v>
      </c>
      <c r="AG263" s="1">
        <f>IF(ISNA(VLOOKUP($CZ263,'Audit Values'!$A$2:$AE$439,2,FALSE)),'Preliminary SO66'!L260,VLOOKUP($CZ263,'Audit Values'!$A$2:$AE$439,12,FALSE))</f>
        <v>0</v>
      </c>
      <c r="AH263" s="1">
        <f>ROUND(AG263*Weightings!$M$10,1)</f>
        <v>0</v>
      </c>
      <c r="AI263" s="1">
        <f>IF(ISNA(VLOOKUP($CZ263,'Audit Values'!$A$2:$AE$439,2,FALSE)),'Preliminary SO66'!O260,VLOOKUP($CZ263,'Audit Values'!$A$2:$AE$439,15,FALSE))</f>
        <v>122.5</v>
      </c>
      <c r="AJ263" s="1">
        <f t="shared" si="324"/>
        <v>39.4</v>
      </c>
      <c r="AK263" s="1">
        <f>CC263/Weightings!$M$5</f>
        <v>0</v>
      </c>
      <c r="AL263" s="1">
        <f>CD263/Weightings!$M$5</f>
        <v>0</v>
      </c>
      <c r="AM263" s="1">
        <f>CH263/Weightings!$M$5</f>
        <v>0</v>
      </c>
      <c r="AN263" s="1">
        <f t="shared" si="310"/>
        <v>0</v>
      </c>
      <c r="AO263" s="1">
        <f>IF(ISNA(VLOOKUP($CZ263,'Audit Values'!$A$2:$AE$439,2,FALSE)),'Preliminary SO66'!X260,VLOOKUP($CZ263,'Audit Values'!$A$2:$AE$439,24,FALSE))</f>
        <v>0</v>
      </c>
      <c r="AP263" s="188">
        <v>294434</v>
      </c>
      <c r="AQ263" s="113">
        <f>AP263/Weightings!$M$5</f>
        <v>76.7</v>
      </c>
      <c r="AR263" s="113">
        <f t="shared" si="325"/>
        <v>610.9</v>
      </c>
      <c r="AS263" s="1">
        <f t="shared" si="326"/>
        <v>687.6</v>
      </c>
      <c r="AT263" s="1">
        <f t="shared" si="327"/>
        <v>687.6</v>
      </c>
      <c r="AU263" s="2">
        <f t="shared" si="341"/>
        <v>0</v>
      </c>
      <c r="AV263" s="142">
        <f>IF(ISNA(VLOOKUP($CZ263,'Audit Values'!$A$2:$AC$360,2,FALSE)),"",IF(AND(Weightings!H263&gt;0,VLOOKUP($CZ263,'Audit Values'!$A$2:$AC$360,29,FALSE)&lt;Weightings!H263),Weightings!H263,VLOOKUP($CZ263,'Audit Values'!$A$2:$AC$360,29,FALSE)))</f>
        <v>20</v>
      </c>
      <c r="AW263" s="142" t="str">
        <f>IF(ISNA(VLOOKUP($CZ263,'Audit Values'!$A$2:$AD$360,2,FALSE)),"",VLOOKUP($CZ263,'Audit Values'!$A$2:$AD$360,30,FALSE))</f>
        <v>AM</v>
      </c>
      <c r="AX263" s="159" t="str">
        <f>IF(Weightings!G263="","",IF(Weightings!I263="Pending","PX","R"))</f>
        <v>R</v>
      </c>
      <c r="AY263" s="114">
        <f>AR263*Weightings!$M$5+AU263</f>
        <v>2344634</v>
      </c>
      <c r="AZ263" s="2">
        <f>AT263*Weightings!$M$5+AU263</f>
        <v>2639009</v>
      </c>
      <c r="BA263" s="2">
        <f>IF(Weightings!G263&gt;0,Weightings!G263,'Preliminary SO66'!AB260)</f>
        <v>2679692</v>
      </c>
      <c r="BB263" s="2">
        <f t="shared" si="328"/>
        <v>2639009</v>
      </c>
      <c r="BC263" s="124"/>
      <c r="BD263" s="124">
        <f>Weightings!E263</f>
        <v>0</v>
      </c>
      <c r="BE263" s="124">
        <f>Weightings!F263</f>
        <v>0</v>
      </c>
      <c r="BF263" s="2">
        <f t="shared" si="329"/>
        <v>0</v>
      </c>
      <c r="BG263" s="2">
        <f t="shared" si="330"/>
        <v>2639009</v>
      </c>
      <c r="BH263" s="2">
        <f>MAX(ROUND(((AR263-AO263)*4433)+AP263,0),ROUND(((AR263-AO263)*4433)+Weightings!B263,0))</f>
        <v>3109144</v>
      </c>
      <c r="BI263" s="174">
        <v>0.3</v>
      </c>
      <c r="BJ263" s="2">
        <f t="shared" si="298"/>
        <v>932743</v>
      </c>
      <c r="BK263" s="173">
        <v>925695</v>
      </c>
      <c r="BL263" s="2">
        <f t="shared" si="303"/>
        <v>925695</v>
      </c>
      <c r="BM263" s="3">
        <f t="shared" si="315"/>
        <v>0.29770000000000002</v>
      </c>
      <c r="BN263" s="1">
        <f t="shared" si="331"/>
        <v>0</v>
      </c>
      <c r="BO263" s="4" t="b">
        <f t="shared" si="332"/>
        <v>0</v>
      </c>
      <c r="BP263" s="5">
        <f t="shared" si="333"/>
        <v>0</v>
      </c>
      <c r="BQ263" s="6">
        <f t="shared" si="306"/>
        <v>0</v>
      </c>
      <c r="BR263" s="4">
        <f t="shared" si="334"/>
        <v>0</v>
      </c>
      <c r="BS263" s="4" t="b">
        <f t="shared" si="335"/>
        <v>1</v>
      </c>
      <c r="BT263" s="4">
        <f t="shared" si="336"/>
        <v>48.633800000000001</v>
      </c>
      <c r="BU263" s="6">
        <f t="shared" si="307"/>
        <v>0.47083399999999997</v>
      </c>
      <c r="BV263" s="1">
        <f t="shared" si="337"/>
        <v>159.80000000000001</v>
      </c>
      <c r="BW263" s="1">
        <f t="shared" si="338"/>
        <v>0</v>
      </c>
      <c r="BX263" s="116">
        <v>303.8</v>
      </c>
      <c r="BY263" s="7">
        <f t="shared" si="342"/>
        <v>0.4</v>
      </c>
      <c r="BZ263" s="7">
        <f>IF(ROUND((Weightings!$P$5*BY263^Weightings!$P$6*Weightings!$P$8 ),2)&lt;Weightings!$P$7,Weightings!$P$7,ROUND((Weightings!$P$5*BY263^Weightings!$P$6*Weightings!$P$8 ),2))</f>
        <v>1235.22</v>
      </c>
      <c r="CA263" s="8">
        <f>ROUND(BZ263/Weightings!$M$5,4)</f>
        <v>0.32179999999999997</v>
      </c>
      <c r="CB263" s="1">
        <f t="shared" si="343"/>
        <v>39.4</v>
      </c>
      <c r="CC263" s="173">
        <v>0</v>
      </c>
      <c r="CD263" s="173">
        <v>0</v>
      </c>
      <c r="CE263" s="173">
        <v>0</v>
      </c>
      <c r="CF263" s="177">
        <v>0</v>
      </c>
      <c r="CG263" s="2">
        <f>AS263*Weightings!$M$5*CF263</f>
        <v>0</v>
      </c>
      <c r="CH263" s="2">
        <f t="shared" si="305"/>
        <v>0</v>
      </c>
      <c r="CI263" s="117">
        <f t="shared" si="339"/>
        <v>0.36799999999999999</v>
      </c>
      <c r="CJ263" s="4">
        <f t="shared" si="340"/>
        <v>1.1000000000000001</v>
      </c>
      <c r="CK263" s="1">
        <f t="shared" si="344"/>
        <v>0</v>
      </c>
      <c r="CL263" s="1">
        <f t="shared" si="345"/>
        <v>0</v>
      </c>
      <c r="CM263" s="1">
        <f t="shared" si="346"/>
        <v>1.6</v>
      </c>
      <c r="CN263" s="1">
        <f>IF(ISNA(VLOOKUP($CZ263,'Audit Values'!$A$2:$AE$439,2,FALSE)),'Preliminary SO66'!T260,VLOOKUP($CZ263,'Audit Values'!$A$2:$AE$439,20,FALSE))</f>
        <v>0</v>
      </c>
      <c r="CO263" s="1">
        <f t="shared" si="311"/>
        <v>0</v>
      </c>
      <c r="CP263" s="183">
        <v>0</v>
      </c>
      <c r="CQ263" s="1">
        <f t="shared" si="312"/>
        <v>0</v>
      </c>
      <c r="CR263" s="2">
        <f>IF(ISNA(VLOOKUP($CZ263,'Audit Values'!$A$2:$AE$439,2,FALSE)),'Preliminary SO66'!V260,VLOOKUP($CZ263,'Audit Values'!$A$2:$AE$439,22,FALSE))</f>
        <v>0</v>
      </c>
      <c r="CS263" s="1">
        <f t="shared" si="313"/>
        <v>0</v>
      </c>
      <c r="CT263" s="2">
        <f>IF(ISNA(VLOOKUP($CZ263,'Audit Values'!$A$2:$AE$439,2,FALSE)),'Preliminary SO66'!W260,VLOOKUP($CZ263,'Audit Values'!$A$2:$AE$439,23,FALSE))</f>
        <v>0</v>
      </c>
      <c r="CU263" s="1">
        <f t="shared" si="301"/>
        <v>0</v>
      </c>
      <c r="CV263" s="1">
        <f t="shared" si="302"/>
        <v>0</v>
      </c>
      <c r="CW263" s="176">
        <v>0</v>
      </c>
      <c r="CX263" s="2">
        <f>IF(CW263&gt;0,Weightings!$M$11*AR263,0)</f>
        <v>0</v>
      </c>
      <c r="CY263" s="2">
        <f t="shared" si="347"/>
        <v>0</v>
      </c>
      <c r="CZ263" s="108" t="s">
        <v>555</v>
      </c>
    </row>
    <row r="264" spans="1:104">
      <c r="A264" s="82">
        <v>482</v>
      </c>
      <c r="B264" s="4" t="s">
        <v>106</v>
      </c>
      <c r="C264" s="4" t="s">
        <v>890</v>
      </c>
      <c r="D264" s="1">
        <v>226</v>
      </c>
      <c r="E264" s="1">
        <v>0</v>
      </c>
      <c r="F264" s="1">
        <f t="shared" si="294"/>
        <v>226</v>
      </c>
      <c r="G264" s="1">
        <v>237.5</v>
      </c>
      <c r="H264" s="1">
        <v>0</v>
      </c>
      <c r="I264" s="1">
        <f t="shared" si="314"/>
        <v>237.5</v>
      </c>
      <c r="J264" s="1">
        <f t="shared" si="316"/>
        <v>242.5</v>
      </c>
      <c r="K264" s="1">
        <f>IF(ISNA(VLOOKUP($CZ264,'Audit Values'!$A$2:$AE$439,2,FALSE)),'Preliminary SO66'!B261,VLOOKUP($CZ264,'Audit Values'!$A$2:$AE$439,31,FALSE))</f>
        <v>242.5</v>
      </c>
      <c r="L264" s="1">
        <f t="shared" si="317"/>
        <v>242.5</v>
      </c>
      <c r="M264" s="1">
        <f>IF(ISNA(VLOOKUP($CZ264,'Audit Values'!$A$2:$AE$439,2,FALSE)),'Preliminary SO66'!Z261,VLOOKUP($CZ264,'Audit Values'!$A$2:$AE$439,26,FALSE))</f>
        <v>0</v>
      </c>
      <c r="N264" s="1">
        <f t="shared" si="318"/>
        <v>242.5</v>
      </c>
      <c r="O264" s="1">
        <f>IF(ISNA(VLOOKUP($CZ264,'Audit Values'!$A$2:$AE$439,2,FALSE)),'Preliminary SO66'!C261,IF(VLOOKUP($CZ264,'Audit Values'!$A$2:$AE$439,28,FALSE)="",VLOOKUP($CZ264,'Audit Values'!$A$2:$AE$439,3,FALSE),VLOOKUP($CZ264,'Audit Values'!$A$2:$AE$439,28,FALSE)))</f>
        <v>2.5</v>
      </c>
      <c r="P264" s="109">
        <f t="shared" si="319"/>
        <v>245</v>
      </c>
      <c r="Q264" s="110">
        <f t="shared" si="320"/>
        <v>245</v>
      </c>
      <c r="R264" s="111">
        <f t="shared" si="321"/>
        <v>245</v>
      </c>
      <c r="S264" s="1">
        <f t="shared" si="322"/>
        <v>245</v>
      </c>
      <c r="T264" s="1">
        <f t="shared" si="293"/>
        <v>0</v>
      </c>
      <c r="U264" s="1">
        <f t="shared" si="323"/>
        <v>154.30000000000001</v>
      </c>
      <c r="V264" s="1">
        <f t="shared" si="308"/>
        <v>154.30000000000001</v>
      </c>
      <c r="W264" s="1">
        <f t="shared" si="309"/>
        <v>0</v>
      </c>
      <c r="X264" s="1">
        <f>IF(ISNA(VLOOKUP($CZ264,'Audit Values'!$A$2:$AE$439,2,FALSE)),'Preliminary SO66'!D261,VLOOKUP($CZ264,'Audit Values'!$A$2:$AE$439,4,FALSE))</f>
        <v>30.5</v>
      </c>
      <c r="Y264" s="1">
        <f>ROUND((X264/6)*Weightings!$M$6,1)</f>
        <v>2.5</v>
      </c>
      <c r="Z264" s="1">
        <f>IF(ISNA(VLOOKUP($CZ264,'Audit Values'!$A$2:$AE$439,2,FALSE)),'Preliminary SO66'!F261,VLOOKUP($CZ264,'Audit Values'!$A$2:$AE$439,6,FALSE))</f>
        <v>0</v>
      </c>
      <c r="AA264" s="1">
        <f>ROUND((Z264/6)*Weightings!$M$7,1)</f>
        <v>0</v>
      </c>
      <c r="AB264" s="2">
        <f>IF(ISNA(VLOOKUP($CZ264,'Audit Values'!$A$2:$AE$439,2,FALSE)),'Preliminary SO66'!H261,VLOOKUP($CZ264,'Audit Values'!$A$2:$AE$439,8,FALSE))</f>
        <v>81</v>
      </c>
      <c r="AC264" s="1">
        <f>ROUND(AB264*Weightings!$M$8,1)</f>
        <v>36.9</v>
      </c>
      <c r="AD264" s="1">
        <f t="shared" si="304"/>
        <v>0</v>
      </c>
      <c r="AE264" s="185">
        <v>15</v>
      </c>
      <c r="AF264" s="1">
        <f>AE264*Weightings!$M$9</f>
        <v>0.7</v>
      </c>
      <c r="AG264" s="1">
        <f>IF(ISNA(VLOOKUP($CZ264,'Audit Values'!$A$2:$AE$439,2,FALSE)),'Preliminary SO66'!L261,VLOOKUP($CZ264,'Audit Values'!$A$2:$AE$439,12,FALSE))</f>
        <v>0</v>
      </c>
      <c r="AH264" s="1">
        <f>ROUND(AG264*Weightings!$M$10,1)</f>
        <v>0</v>
      </c>
      <c r="AI264" s="1">
        <f>IF(ISNA(VLOOKUP($CZ264,'Audit Values'!$A$2:$AE$439,2,FALSE)),'Preliminary SO66'!O261,VLOOKUP($CZ264,'Audit Values'!$A$2:$AE$439,15,FALSE))</f>
        <v>47</v>
      </c>
      <c r="AJ264" s="1">
        <f t="shared" si="324"/>
        <v>21.8</v>
      </c>
      <c r="AK264" s="1">
        <f>CC264/Weightings!$M$5</f>
        <v>0</v>
      </c>
      <c r="AL264" s="1">
        <f>CD264/Weightings!$M$5</f>
        <v>0</v>
      </c>
      <c r="AM264" s="1">
        <f>CH264/Weightings!$M$5</f>
        <v>0</v>
      </c>
      <c r="AN264" s="1">
        <f t="shared" si="310"/>
        <v>0</v>
      </c>
      <c r="AO264" s="1">
        <f>IF(ISNA(VLOOKUP($CZ264,'Audit Values'!$A$2:$AE$439,2,FALSE)),'Preliminary SO66'!X261,VLOOKUP($CZ264,'Audit Values'!$A$2:$AE$439,24,FALSE))</f>
        <v>0</v>
      </c>
      <c r="AP264" s="188">
        <v>168368</v>
      </c>
      <c r="AQ264" s="113">
        <f>AP264/Weightings!$M$5</f>
        <v>43.9</v>
      </c>
      <c r="AR264" s="113">
        <f t="shared" si="325"/>
        <v>461.2</v>
      </c>
      <c r="AS264" s="1">
        <f t="shared" si="326"/>
        <v>505.1</v>
      </c>
      <c r="AT264" s="1">
        <f t="shared" si="327"/>
        <v>505.1</v>
      </c>
      <c r="AU264" s="2">
        <f t="shared" si="341"/>
        <v>0</v>
      </c>
      <c r="AV264" s="82">
        <f>IF(ISNA(VLOOKUP($CZ264,'Audit Values'!$A$2:$AC$360,2,FALSE)),"",IF(AND(Weightings!H264&gt;0,VLOOKUP($CZ264,'Audit Values'!$A$2:$AC$360,29,FALSE)&lt;Weightings!H264),Weightings!H264,VLOOKUP($CZ264,'Audit Values'!$A$2:$AC$360,29,FALSE)))</f>
        <v>18</v>
      </c>
      <c r="AW264" s="82" t="str">
        <f>IF(ISNA(VLOOKUP($CZ264,'Audit Values'!$A$2:$AD$360,2,FALSE)),"",VLOOKUP($CZ264,'Audit Values'!$A$2:$AD$360,30,FALSE))</f>
        <v>A</v>
      </c>
      <c r="AX264" s="82" t="str">
        <f>IF(Weightings!G264="","",IF(Weightings!I264="Pending","PX","R"))</f>
        <v>R</v>
      </c>
      <c r="AY264" s="114">
        <f>AR264*Weightings!$M$5+AU264</f>
        <v>1770086</v>
      </c>
      <c r="AZ264" s="2">
        <f>AT264*Weightings!$M$5+AU264</f>
        <v>1938574</v>
      </c>
      <c r="BA264" s="2">
        <f>IF(Weightings!G264&gt;0,Weightings!G264,'Preliminary SO66'!AB261)</f>
        <v>1994992</v>
      </c>
      <c r="BB264" s="2">
        <f t="shared" si="328"/>
        <v>1938574</v>
      </c>
      <c r="BC264" s="124"/>
      <c r="BD264" s="124">
        <f>Weightings!E264</f>
        <v>0</v>
      </c>
      <c r="BE264" s="124">
        <f>Weightings!F264</f>
        <v>0</v>
      </c>
      <c r="BF264" s="2">
        <f t="shared" si="329"/>
        <v>0</v>
      </c>
      <c r="BG264" s="2">
        <f t="shared" si="330"/>
        <v>1938574</v>
      </c>
      <c r="BH264" s="2">
        <f>MAX(ROUND(((AR264-AO264)*4433)+AP264,0),ROUND(((AR264-AO264)*4433)+Weightings!B264,0))</f>
        <v>2249778</v>
      </c>
      <c r="BI264" s="174">
        <v>0.3</v>
      </c>
      <c r="BJ264" s="2">
        <f t="shared" si="298"/>
        <v>674933</v>
      </c>
      <c r="BK264" s="173">
        <v>663141</v>
      </c>
      <c r="BL264" s="2">
        <f t="shared" si="303"/>
        <v>663141</v>
      </c>
      <c r="BM264" s="3">
        <f t="shared" si="315"/>
        <v>0.29480000000000001</v>
      </c>
      <c r="BN264" s="1">
        <f t="shared" si="331"/>
        <v>0</v>
      </c>
      <c r="BO264" s="4" t="b">
        <f t="shared" si="332"/>
        <v>1</v>
      </c>
      <c r="BP264" s="5">
        <f t="shared" si="333"/>
        <v>1399.9749999999999</v>
      </c>
      <c r="BQ264" s="6">
        <f t="shared" si="306"/>
        <v>0.62997599999999998</v>
      </c>
      <c r="BR264" s="4">
        <f t="shared" si="334"/>
        <v>154.30000000000001</v>
      </c>
      <c r="BS264" s="4" t="b">
        <f t="shared" si="335"/>
        <v>0</v>
      </c>
      <c r="BT264" s="4">
        <f t="shared" si="336"/>
        <v>0</v>
      </c>
      <c r="BU264" s="6">
        <f t="shared" si="307"/>
        <v>0</v>
      </c>
      <c r="BV264" s="1">
        <f t="shared" si="337"/>
        <v>0</v>
      </c>
      <c r="BW264" s="1">
        <f t="shared" si="338"/>
        <v>0</v>
      </c>
      <c r="BX264" s="116">
        <v>619.5</v>
      </c>
      <c r="BY264" s="7">
        <f t="shared" si="342"/>
        <v>0.08</v>
      </c>
      <c r="BZ264" s="7">
        <f>IF(ROUND((Weightings!$P$5*BY264^Weightings!$P$6*Weightings!$P$8 ),2)&lt;Weightings!$P$7,Weightings!$P$7,ROUND((Weightings!$P$5*BY264^Weightings!$P$6*Weightings!$P$8 ),2))</f>
        <v>1783.12</v>
      </c>
      <c r="CA264" s="8">
        <f>ROUND(BZ264/Weightings!$M$5,4)</f>
        <v>0.46460000000000001</v>
      </c>
      <c r="CB264" s="1">
        <f t="shared" si="343"/>
        <v>21.8</v>
      </c>
      <c r="CC264" s="173">
        <v>0</v>
      </c>
      <c r="CD264" s="173">
        <v>0</v>
      </c>
      <c r="CE264" s="173">
        <v>0</v>
      </c>
      <c r="CF264" s="177">
        <v>0</v>
      </c>
      <c r="CG264" s="2">
        <f>AS264*Weightings!$M$5*CF264</f>
        <v>0</v>
      </c>
      <c r="CH264" s="2">
        <f t="shared" si="305"/>
        <v>0</v>
      </c>
      <c r="CI264" s="117">
        <f t="shared" si="339"/>
        <v>0.33100000000000002</v>
      </c>
      <c r="CJ264" s="4">
        <f t="shared" si="340"/>
        <v>0.4</v>
      </c>
      <c r="CK264" s="1">
        <f t="shared" si="344"/>
        <v>0</v>
      </c>
      <c r="CL264" s="1">
        <f t="shared" si="345"/>
        <v>0</v>
      </c>
      <c r="CM264" s="1">
        <f t="shared" si="346"/>
        <v>0</v>
      </c>
      <c r="CN264" s="1">
        <f>IF(ISNA(VLOOKUP($CZ264,'Audit Values'!$A$2:$AE$439,2,FALSE)),'Preliminary SO66'!T261,VLOOKUP($CZ264,'Audit Values'!$A$2:$AE$439,20,FALSE))</f>
        <v>0</v>
      </c>
      <c r="CO264" s="1">
        <f t="shared" si="311"/>
        <v>0</v>
      </c>
      <c r="CP264" s="183">
        <v>0</v>
      </c>
      <c r="CQ264" s="1">
        <f t="shared" si="312"/>
        <v>0</v>
      </c>
      <c r="CR264" s="2">
        <f>IF(ISNA(VLOOKUP($CZ264,'Audit Values'!$A$2:$AE$439,2,FALSE)),'Preliminary SO66'!V261,VLOOKUP($CZ264,'Audit Values'!$A$2:$AE$439,22,FALSE))</f>
        <v>0</v>
      </c>
      <c r="CS264" s="1">
        <f t="shared" si="313"/>
        <v>0</v>
      </c>
      <c r="CT264" s="2">
        <f>IF(ISNA(VLOOKUP($CZ264,'Audit Values'!$A$2:$AE$439,2,FALSE)),'Preliminary SO66'!W261,VLOOKUP($CZ264,'Audit Values'!$A$2:$AE$439,23,FALSE))</f>
        <v>0</v>
      </c>
      <c r="CU264" s="1">
        <f t="shared" si="301"/>
        <v>0</v>
      </c>
      <c r="CV264" s="1">
        <f t="shared" si="302"/>
        <v>0</v>
      </c>
      <c r="CW264" s="176">
        <v>0</v>
      </c>
      <c r="CX264" s="2">
        <f>IF(CW264&gt;0,Weightings!$M$11*AR264,0)</f>
        <v>0</v>
      </c>
      <c r="CY264" s="2">
        <f t="shared" si="347"/>
        <v>0</v>
      </c>
      <c r="CZ264" s="108" t="s">
        <v>556</v>
      </c>
    </row>
    <row r="265" spans="1:104">
      <c r="A265" s="82">
        <v>483</v>
      </c>
      <c r="B265" s="4" t="s">
        <v>108</v>
      </c>
      <c r="C265" s="4" t="s">
        <v>891</v>
      </c>
      <c r="D265" s="1">
        <v>663</v>
      </c>
      <c r="E265" s="1">
        <v>0</v>
      </c>
      <c r="F265" s="1">
        <f t="shared" si="294"/>
        <v>663</v>
      </c>
      <c r="G265" s="1">
        <v>656.6</v>
      </c>
      <c r="H265" s="1">
        <v>0</v>
      </c>
      <c r="I265" s="1">
        <f t="shared" si="314"/>
        <v>656.6</v>
      </c>
      <c r="J265" s="1">
        <f t="shared" si="316"/>
        <v>659.5</v>
      </c>
      <c r="K265" s="1">
        <f>IF(ISNA(VLOOKUP($CZ265,'Audit Values'!$A$2:$AE$439,2,FALSE)),'Preliminary SO66'!B262,VLOOKUP($CZ265,'Audit Values'!$A$2:$AE$439,31,FALSE))</f>
        <v>659.5</v>
      </c>
      <c r="L265" s="1">
        <f t="shared" si="317"/>
        <v>659.7</v>
      </c>
      <c r="M265" s="1">
        <f>IF(ISNA(VLOOKUP($CZ265,'Audit Values'!$A$2:$AE$439,2,FALSE)),'Preliminary SO66'!Z262,VLOOKUP($CZ265,'Audit Values'!$A$2:$AE$439,26,FALSE))</f>
        <v>0</v>
      </c>
      <c r="N265" s="1">
        <f t="shared" si="318"/>
        <v>659.7</v>
      </c>
      <c r="O265" s="1">
        <f>IF(ISNA(VLOOKUP($CZ265,'Audit Values'!$A$2:$AE$439,2,FALSE)),'Preliminary SO66'!C262,IF(VLOOKUP($CZ265,'Audit Values'!$A$2:$AE$439,28,FALSE)="",VLOOKUP($CZ265,'Audit Values'!$A$2:$AE$439,3,FALSE),VLOOKUP($CZ265,'Audit Values'!$A$2:$AE$439,28,FALSE)))</f>
        <v>16</v>
      </c>
      <c r="P265" s="109">
        <f t="shared" si="319"/>
        <v>675.5</v>
      </c>
      <c r="Q265" s="110">
        <f t="shared" si="320"/>
        <v>675.5</v>
      </c>
      <c r="R265" s="111">
        <f t="shared" si="321"/>
        <v>675.5</v>
      </c>
      <c r="S265" s="1">
        <f t="shared" si="322"/>
        <v>675.7</v>
      </c>
      <c r="T265" s="1">
        <f t="shared" si="293"/>
        <v>0</v>
      </c>
      <c r="U265" s="1">
        <f t="shared" si="323"/>
        <v>240.9</v>
      </c>
      <c r="V265" s="1">
        <f t="shared" si="308"/>
        <v>240.9</v>
      </c>
      <c r="W265" s="1">
        <f t="shared" si="309"/>
        <v>0</v>
      </c>
      <c r="X265" s="1">
        <f>IF(ISNA(VLOOKUP($CZ265,'Audit Values'!$A$2:$AE$439,2,FALSE)),'Preliminary SO66'!D262,VLOOKUP($CZ265,'Audit Values'!$A$2:$AE$439,4,FALSE))</f>
        <v>44.2</v>
      </c>
      <c r="Y265" s="1">
        <f>ROUND((X265/6)*Weightings!$M$6,1)</f>
        <v>3.7</v>
      </c>
      <c r="Z265" s="1">
        <f>IF(ISNA(VLOOKUP($CZ265,'Audit Values'!$A$2:$AE$439,2,FALSE)),'Preliminary SO66'!F262,VLOOKUP($CZ265,'Audit Values'!$A$2:$AE$439,6,FALSE))</f>
        <v>2521.8000000000002</v>
      </c>
      <c r="AA265" s="1">
        <f>ROUND((Z265/6)*Weightings!$M$7,1)</f>
        <v>166</v>
      </c>
      <c r="AB265" s="2">
        <f>IF(ISNA(VLOOKUP($CZ265,'Audit Values'!$A$2:$AE$439,2,FALSE)),'Preliminary SO66'!H262,VLOOKUP($CZ265,'Audit Values'!$A$2:$AE$439,8,FALSE))</f>
        <v>437</v>
      </c>
      <c r="AC265" s="1">
        <f>ROUND(AB265*Weightings!$M$8,1)</f>
        <v>199.3</v>
      </c>
      <c r="AD265" s="1">
        <f t="shared" si="304"/>
        <v>45.9</v>
      </c>
      <c r="AE265" s="185">
        <v>33</v>
      </c>
      <c r="AF265" s="1">
        <f>AE265*Weightings!$M$9</f>
        <v>1.5</v>
      </c>
      <c r="AG265" s="1">
        <f>IF(ISNA(VLOOKUP($CZ265,'Audit Values'!$A$2:$AE$439,2,FALSE)),'Preliminary SO66'!L262,VLOOKUP($CZ265,'Audit Values'!$A$2:$AE$439,12,FALSE))</f>
        <v>0</v>
      </c>
      <c r="AH265" s="1">
        <f>ROUND(AG265*Weightings!$M$10,1)</f>
        <v>0</v>
      </c>
      <c r="AI265" s="1">
        <f>IF(ISNA(VLOOKUP($CZ265,'Audit Values'!$A$2:$AE$439,2,FALSE)),'Preliminary SO66'!O262,VLOOKUP($CZ265,'Audit Values'!$A$2:$AE$439,15,FALSE))</f>
        <v>594</v>
      </c>
      <c r="AJ265" s="1">
        <f t="shared" si="324"/>
        <v>151.80000000000001</v>
      </c>
      <c r="AK265" s="1">
        <f>CC265/Weightings!$M$5</f>
        <v>0</v>
      </c>
      <c r="AL265" s="1">
        <f>CD265/Weightings!$M$5</f>
        <v>0</v>
      </c>
      <c r="AM265" s="1">
        <f>CH265/Weightings!$M$5</f>
        <v>0</v>
      </c>
      <c r="AN265" s="1">
        <f t="shared" si="310"/>
        <v>0</v>
      </c>
      <c r="AO265" s="1">
        <f>IF(ISNA(VLOOKUP($CZ265,'Audit Values'!$A$2:$AE$439,2,FALSE)),'Preliminary SO66'!X262,VLOOKUP($CZ265,'Audit Values'!$A$2:$AE$439,24,FALSE))</f>
        <v>0</v>
      </c>
      <c r="AP265" s="188">
        <v>495558</v>
      </c>
      <c r="AQ265" s="113">
        <f>AP265/Weightings!$M$5</f>
        <v>129.1</v>
      </c>
      <c r="AR265" s="113">
        <f t="shared" si="325"/>
        <v>1484.8</v>
      </c>
      <c r="AS265" s="1">
        <f t="shared" si="326"/>
        <v>1613.9</v>
      </c>
      <c r="AT265" s="1">
        <f t="shared" si="327"/>
        <v>1613.9</v>
      </c>
      <c r="AU265" s="2">
        <f t="shared" si="341"/>
        <v>0</v>
      </c>
      <c r="AV265" s="82">
        <f>IF(ISNA(VLOOKUP($CZ265,'Audit Values'!$A$2:$AC$360,2,FALSE)),"",IF(AND(Weightings!H265&gt;0,VLOOKUP($CZ265,'Audit Values'!$A$2:$AC$360,29,FALSE)&lt;Weightings!H265),Weightings!H265,VLOOKUP($CZ265,'Audit Values'!$A$2:$AC$360,29,FALSE)))</f>
        <v>2</v>
      </c>
      <c r="AW265" s="82" t="str">
        <f>IF(ISNA(VLOOKUP($CZ265,'Audit Values'!$A$2:$AD$360,2,FALSE)),"",VLOOKUP($CZ265,'Audit Values'!$A$2:$AD$360,30,FALSE))</f>
        <v>A</v>
      </c>
      <c r="AX265" s="82" t="str">
        <f>IF(Weightings!G265="","",IF(Weightings!I265="Pending","PX","R"))</f>
        <v/>
      </c>
      <c r="AY265" s="114">
        <f>AR265*Weightings!$M$5+AU265</f>
        <v>5698662</v>
      </c>
      <c r="AZ265" s="2">
        <f>AT265*Weightings!$M$5+AU265</f>
        <v>6194148</v>
      </c>
      <c r="BA265" s="2">
        <f>IF(Weightings!G265&gt;0,Weightings!G265,'Preliminary SO66'!AB262)</f>
        <v>6401016</v>
      </c>
      <c r="BB265" s="2">
        <f t="shared" si="328"/>
        <v>6194148</v>
      </c>
      <c r="BC265" s="124"/>
      <c r="BD265" s="124">
        <f>Weightings!E265</f>
        <v>0</v>
      </c>
      <c r="BE265" s="124">
        <f>Weightings!F265</f>
        <v>0</v>
      </c>
      <c r="BF265" s="2">
        <f t="shared" si="329"/>
        <v>0</v>
      </c>
      <c r="BG265" s="2">
        <f t="shared" si="330"/>
        <v>6194148</v>
      </c>
      <c r="BH265" s="2">
        <f>MAX(ROUND(((AR265-AO265)*4433)+AP265,0),ROUND(((AR265-AO265)*4433)+Weightings!B265,0))</f>
        <v>7181963</v>
      </c>
      <c r="BI265" s="174">
        <v>0.3</v>
      </c>
      <c r="BJ265" s="2">
        <f t="shared" si="298"/>
        <v>2154589</v>
      </c>
      <c r="BK265" s="173">
        <v>1379609</v>
      </c>
      <c r="BL265" s="2">
        <f t="shared" si="303"/>
        <v>1379609</v>
      </c>
      <c r="BM265" s="3">
        <f t="shared" si="315"/>
        <v>0.19209999999999999</v>
      </c>
      <c r="BN265" s="1">
        <f t="shared" si="331"/>
        <v>0</v>
      </c>
      <c r="BO265" s="4" t="b">
        <f t="shared" si="332"/>
        <v>0</v>
      </c>
      <c r="BP265" s="5">
        <f t="shared" si="333"/>
        <v>0</v>
      </c>
      <c r="BQ265" s="6">
        <f t="shared" si="306"/>
        <v>0</v>
      </c>
      <c r="BR265" s="4">
        <f t="shared" si="334"/>
        <v>0</v>
      </c>
      <c r="BS265" s="4" t="b">
        <f t="shared" si="335"/>
        <v>1</v>
      </c>
      <c r="BT265" s="4">
        <f t="shared" si="336"/>
        <v>464.92880000000002</v>
      </c>
      <c r="BU265" s="6">
        <f t="shared" si="307"/>
        <v>0.356543</v>
      </c>
      <c r="BV265" s="1">
        <f t="shared" si="337"/>
        <v>240.9</v>
      </c>
      <c r="BW265" s="1">
        <f t="shared" si="338"/>
        <v>0</v>
      </c>
      <c r="BX265" s="116">
        <v>541</v>
      </c>
      <c r="BY265" s="7">
        <f t="shared" si="342"/>
        <v>1.1000000000000001</v>
      </c>
      <c r="BZ265" s="7">
        <f>IF(ROUND((Weightings!$P$5*BY265^Weightings!$P$6*Weightings!$P$8 ),2)&lt;Weightings!$P$7,Weightings!$P$7,ROUND((Weightings!$P$5*BY265^Weightings!$P$6*Weightings!$P$8 ),2))</f>
        <v>980.69</v>
      </c>
      <c r="CA265" s="8">
        <f>ROUND(BZ265/Weightings!$M$5,4)</f>
        <v>0.2555</v>
      </c>
      <c r="CB265" s="1">
        <f t="shared" si="343"/>
        <v>151.80000000000001</v>
      </c>
      <c r="CC265" s="173">
        <v>0</v>
      </c>
      <c r="CD265" s="173">
        <v>0</v>
      </c>
      <c r="CE265" s="173">
        <v>0</v>
      </c>
      <c r="CF265" s="177">
        <v>0</v>
      </c>
      <c r="CG265" s="2">
        <f>AS265*Weightings!$M$5*CF265</f>
        <v>0</v>
      </c>
      <c r="CH265" s="2">
        <f t="shared" si="305"/>
        <v>0</v>
      </c>
      <c r="CI265" s="117">
        <f t="shared" si="339"/>
        <v>0.64700000000000002</v>
      </c>
      <c r="CJ265" s="4">
        <f t="shared" si="340"/>
        <v>1.2</v>
      </c>
      <c r="CK265" s="1">
        <f t="shared" si="344"/>
        <v>45.9</v>
      </c>
      <c r="CL265" s="1">
        <f t="shared" si="345"/>
        <v>0</v>
      </c>
      <c r="CM265" s="1">
        <f t="shared" si="346"/>
        <v>0</v>
      </c>
      <c r="CN265" s="1">
        <f>IF(ISNA(VLOOKUP($CZ265,'Audit Values'!$A$2:$AE$439,2,FALSE)),'Preliminary SO66'!T262,VLOOKUP($CZ265,'Audit Values'!$A$2:$AE$439,20,FALSE))</f>
        <v>0</v>
      </c>
      <c r="CO265" s="1">
        <f t="shared" si="311"/>
        <v>0</v>
      </c>
      <c r="CP265" s="183">
        <v>0</v>
      </c>
      <c r="CQ265" s="1">
        <f t="shared" si="312"/>
        <v>0</v>
      </c>
      <c r="CR265" s="2">
        <f>IF(ISNA(VLOOKUP($CZ265,'Audit Values'!$A$2:$AE$439,2,FALSE)),'Preliminary SO66'!V262,VLOOKUP($CZ265,'Audit Values'!$A$2:$AE$439,22,FALSE))</f>
        <v>0</v>
      </c>
      <c r="CS265" s="1">
        <f t="shared" si="313"/>
        <v>0</v>
      </c>
      <c r="CT265" s="2">
        <f>IF(ISNA(VLOOKUP($CZ265,'Audit Values'!$A$2:$AE$439,2,FALSE)),'Preliminary SO66'!W262,VLOOKUP($CZ265,'Audit Values'!$A$2:$AE$439,23,FALSE))</f>
        <v>0</v>
      </c>
      <c r="CU265" s="1">
        <f t="shared" si="301"/>
        <v>0</v>
      </c>
      <c r="CV265" s="1">
        <f t="shared" si="302"/>
        <v>0</v>
      </c>
      <c r="CW265" s="176">
        <v>0</v>
      </c>
      <c r="CX265" s="2">
        <f>IF(CW265&gt;0,Weightings!$M$11*AR265,0)</f>
        <v>0</v>
      </c>
      <c r="CY265" s="2">
        <f t="shared" si="347"/>
        <v>0</v>
      </c>
      <c r="CZ265" s="108" t="s">
        <v>557</v>
      </c>
    </row>
    <row r="266" spans="1:104">
      <c r="A266" s="82">
        <v>484</v>
      </c>
      <c r="B266" s="4" t="s">
        <v>85</v>
      </c>
      <c r="C266" s="4" t="s">
        <v>892</v>
      </c>
      <c r="D266" s="1">
        <v>649.1</v>
      </c>
      <c r="E266" s="1">
        <v>0</v>
      </c>
      <c r="F266" s="1">
        <f t="shared" si="294"/>
        <v>649.1</v>
      </c>
      <c r="G266" s="1">
        <v>676.4</v>
      </c>
      <c r="H266" s="1">
        <v>0</v>
      </c>
      <c r="I266" s="1">
        <f t="shared" si="314"/>
        <v>676.4</v>
      </c>
      <c r="J266" s="1">
        <f t="shared" si="316"/>
        <v>649.1</v>
      </c>
      <c r="K266" s="1">
        <f>IF(ISNA(VLOOKUP($CZ266,'Audit Values'!$A$2:$AE$439,2,FALSE)),'Preliminary SO66'!B263,VLOOKUP($CZ266,'Audit Values'!$A$2:$AE$439,31,FALSE))</f>
        <v>648.20000000000005</v>
      </c>
      <c r="L266" s="1">
        <f t="shared" si="317"/>
        <v>676.4</v>
      </c>
      <c r="M266" s="1">
        <f>IF(ISNA(VLOOKUP($CZ266,'Audit Values'!$A$2:$AE$439,2,FALSE)),'Preliminary SO66'!Z263,VLOOKUP($CZ266,'Audit Values'!$A$2:$AE$439,26,FALSE))</f>
        <v>0</v>
      </c>
      <c r="N266" s="1">
        <f t="shared" si="318"/>
        <v>676.4</v>
      </c>
      <c r="O266" s="1">
        <f>IF(ISNA(VLOOKUP($CZ266,'Audit Values'!$A$2:$AE$439,2,FALSE)),'Preliminary SO66'!C263,IF(VLOOKUP($CZ266,'Audit Values'!$A$2:$AE$439,28,FALSE)="",VLOOKUP($CZ266,'Audit Values'!$A$2:$AE$439,3,FALSE),VLOOKUP($CZ266,'Audit Values'!$A$2:$AE$439,28,FALSE)))</f>
        <v>7.5</v>
      </c>
      <c r="P266" s="109">
        <f t="shared" si="319"/>
        <v>655.7</v>
      </c>
      <c r="Q266" s="110">
        <f t="shared" si="320"/>
        <v>656.6</v>
      </c>
      <c r="R266" s="111">
        <f t="shared" si="321"/>
        <v>656.6</v>
      </c>
      <c r="S266" s="1">
        <f t="shared" si="322"/>
        <v>683.9</v>
      </c>
      <c r="T266" s="1">
        <f t="shared" si="293"/>
        <v>0.9</v>
      </c>
      <c r="U266" s="1">
        <f t="shared" si="323"/>
        <v>241.9</v>
      </c>
      <c r="V266" s="1">
        <f t="shared" si="308"/>
        <v>241.9</v>
      </c>
      <c r="W266" s="1">
        <f t="shared" si="309"/>
        <v>0</v>
      </c>
      <c r="X266" s="1">
        <f>IF(ISNA(VLOOKUP($CZ266,'Audit Values'!$A$2:$AE$439,2,FALSE)),'Preliminary SO66'!D263,VLOOKUP($CZ266,'Audit Values'!$A$2:$AE$439,4,FALSE))</f>
        <v>91</v>
      </c>
      <c r="Y266" s="1">
        <f>ROUND((X266/6)*Weightings!$M$6,1)</f>
        <v>7.6</v>
      </c>
      <c r="Z266" s="1">
        <f>IF(ISNA(VLOOKUP($CZ266,'Audit Values'!$A$2:$AE$439,2,FALSE)),'Preliminary SO66'!F263,VLOOKUP($CZ266,'Audit Values'!$A$2:$AE$439,6,FALSE))</f>
        <v>0</v>
      </c>
      <c r="AA266" s="1">
        <f>ROUND((Z266/6)*Weightings!$M$7,1)</f>
        <v>0</v>
      </c>
      <c r="AB266" s="2">
        <f>IF(ISNA(VLOOKUP($CZ266,'Audit Values'!$A$2:$AE$439,2,FALSE)),'Preliminary SO66'!H263,VLOOKUP($CZ266,'Audit Values'!$A$2:$AE$439,8,FALSE))</f>
        <v>297</v>
      </c>
      <c r="AC266" s="1">
        <f>ROUND(AB266*Weightings!$M$8,1)</f>
        <v>135.4</v>
      </c>
      <c r="AD266" s="1">
        <f t="shared" si="304"/>
        <v>17.5</v>
      </c>
      <c r="AE266" s="185">
        <v>53</v>
      </c>
      <c r="AF266" s="1">
        <f>AE266*Weightings!$M$9</f>
        <v>2.5</v>
      </c>
      <c r="AG266" s="1">
        <f>IF(ISNA(VLOOKUP($CZ266,'Audit Values'!$A$2:$AE$439,2,FALSE)),'Preliminary SO66'!L263,VLOOKUP($CZ266,'Audit Values'!$A$2:$AE$439,12,FALSE))</f>
        <v>0</v>
      </c>
      <c r="AH266" s="1">
        <f>ROUND(AG266*Weightings!$M$10,1)</f>
        <v>0</v>
      </c>
      <c r="AI266" s="1">
        <f>IF(ISNA(VLOOKUP($CZ266,'Audit Values'!$A$2:$AE$439,2,FALSE)),'Preliminary SO66'!O263,VLOOKUP($CZ266,'Audit Values'!$A$2:$AE$439,15,FALSE))</f>
        <v>222</v>
      </c>
      <c r="AJ266" s="1">
        <f t="shared" si="324"/>
        <v>66.400000000000006</v>
      </c>
      <c r="AK266" s="1">
        <f>CC266/Weightings!$M$5</f>
        <v>0</v>
      </c>
      <c r="AL266" s="1">
        <f>CD266/Weightings!$M$5</f>
        <v>0</v>
      </c>
      <c r="AM266" s="1">
        <f>CH266/Weightings!$M$5</f>
        <v>0</v>
      </c>
      <c r="AN266" s="1">
        <f t="shared" si="310"/>
        <v>0.9</v>
      </c>
      <c r="AO266" s="1">
        <f>IF(ISNA(VLOOKUP($CZ266,'Audit Values'!$A$2:$AE$439,2,FALSE)),'Preliminary SO66'!X263,VLOOKUP($CZ266,'Audit Values'!$A$2:$AE$439,24,FALSE))</f>
        <v>0</v>
      </c>
      <c r="AP266" s="188">
        <v>533019</v>
      </c>
      <c r="AQ266" s="113">
        <f>AP266/Weightings!$M$5</f>
        <v>138.9</v>
      </c>
      <c r="AR266" s="113">
        <f t="shared" si="325"/>
        <v>1156.0999999999999</v>
      </c>
      <c r="AS266" s="1">
        <f t="shared" si="326"/>
        <v>1295</v>
      </c>
      <c r="AT266" s="1">
        <f t="shared" si="327"/>
        <v>1295</v>
      </c>
      <c r="AU266" s="2">
        <f t="shared" si="341"/>
        <v>0</v>
      </c>
      <c r="AV266" s="82">
        <f>IF(ISNA(VLOOKUP($CZ266,'Audit Values'!$A$2:$AC$360,2,FALSE)),"",IF(AND(Weightings!H266&gt;0,VLOOKUP($CZ266,'Audit Values'!$A$2:$AC$360,29,FALSE)&lt;Weightings!H266),Weightings!H266,VLOOKUP($CZ266,'Audit Values'!$A$2:$AC$360,29,FALSE)))</f>
        <v>24</v>
      </c>
      <c r="AW266" s="82" t="str">
        <f>IF(ISNA(VLOOKUP($CZ266,'Audit Values'!$A$2:$AD$360,2,FALSE)),"",VLOOKUP($CZ266,'Audit Values'!$A$2:$AD$360,30,FALSE))</f>
        <v>A</v>
      </c>
      <c r="AX266" s="82" t="str">
        <f>IF(Weightings!G266="","",IF(Weightings!I266="Pending","PX","R"))</f>
        <v/>
      </c>
      <c r="AY266" s="114">
        <f>AR266*Weightings!$M$5+AU266</f>
        <v>4437112</v>
      </c>
      <c r="AZ266" s="2">
        <f>AT266*Weightings!$M$5+AU266</f>
        <v>4970210</v>
      </c>
      <c r="BA266" s="2">
        <f>IF(Weightings!G266&gt;0,Weightings!G266,'Preliminary SO66'!AB263)</f>
        <v>5050040</v>
      </c>
      <c r="BB266" s="2">
        <f t="shared" si="328"/>
        <v>4970210</v>
      </c>
      <c r="BC266" s="124"/>
      <c r="BD266" s="124">
        <f>Weightings!E266</f>
        <v>-1141</v>
      </c>
      <c r="BE266" s="124">
        <f>Weightings!F266</f>
        <v>0</v>
      </c>
      <c r="BF266" s="2">
        <f t="shared" si="329"/>
        <v>-1141</v>
      </c>
      <c r="BG266" s="2">
        <f t="shared" si="330"/>
        <v>4969069</v>
      </c>
      <c r="BH266" s="2">
        <f>MAX(ROUND(((AR266-AO266)*4433)+AP266,0),ROUND(((AR266-AO266)*4433)+Weightings!B266,0))</f>
        <v>5783723</v>
      </c>
      <c r="BI266" s="174">
        <v>0.3</v>
      </c>
      <c r="BJ266" s="2">
        <f t="shared" si="298"/>
        <v>1735117</v>
      </c>
      <c r="BK266" s="173">
        <v>1712500</v>
      </c>
      <c r="BL266" s="2">
        <f t="shared" si="303"/>
        <v>1712500</v>
      </c>
      <c r="BM266" s="3">
        <f t="shared" si="315"/>
        <v>0.29609999999999997</v>
      </c>
      <c r="BN266" s="1">
        <f t="shared" si="331"/>
        <v>0</v>
      </c>
      <c r="BO266" s="4" t="b">
        <f t="shared" si="332"/>
        <v>0</v>
      </c>
      <c r="BP266" s="5">
        <f t="shared" si="333"/>
        <v>0</v>
      </c>
      <c r="BQ266" s="6">
        <f t="shared" si="306"/>
        <v>0</v>
      </c>
      <c r="BR266" s="4">
        <f t="shared" si="334"/>
        <v>0</v>
      </c>
      <c r="BS266" s="4" t="b">
        <f t="shared" si="335"/>
        <v>1</v>
      </c>
      <c r="BT266" s="4">
        <f t="shared" si="336"/>
        <v>475.0763</v>
      </c>
      <c r="BU266" s="6">
        <f t="shared" si="307"/>
        <v>0.35375699999999999</v>
      </c>
      <c r="BV266" s="1">
        <f t="shared" si="337"/>
        <v>241.9</v>
      </c>
      <c r="BW266" s="1">
        <f t="shared" si="338"/>
        <v>0</v>
      </c>
      <c r="BX266" s="116">
        <v>402</v>
      </c>
      <c r="BY266" s="7">
        <f t="shared" si="342"/>
        <v>0.55000000000000004</v>
      </c>
      <c r="BZ266" s="7">
        <f>IF(ROUND((Weightings!$P$5*BY266^Weightings!$P$6*Weightings!$P$8 ),2)&lt;Weightings!$P$7,Weightings!$P$7,ROUND((Weightings!$P$5*BY266^Weightings!$P$6*Weightings!$P$8 ),2))</f>
        <v>1148.68</v>
      </c>
      <c r="CA266" s="8">
        <f>ROUND(BZ266/Weightings!$M$5,4)</f>
        <v>0.29930000000000001</v>
      </c>
      <c r="CB266" s="1">
        <f t="shared" si="343"/>
        <v>66.400000000000006</v>
      </c>
      <c r="CC266" s="173">
        <v>0</v>
      </c>
      <c r="CD266" s="173">
        <v>0</v>
      </c>
      <c r="CE266" s="173">
        <v>0</v>
      </c>
      <c r="CF266" s="177">
        <v>0</v>
      </c>
      <c r="CG266" s="2">
        <f>AS266*Weightings!$M$5*CF266</f>
        <v>0</v>
      </c>
      <c r="CH266" s="2">
        <f t="shared" si="305"/>
        <v>0</v>
      </c>
      <c r="CI266" s="117">
        <f t="shared" si="339"/>
        <v>0.434</v>
      </c>
      <c r="CJ266" s="4">
        <f t="shared" si="340"/>
        <v>1.7</v>
      </c>
      <c r="CK266" s="1">
        <f t="shared" si="344"/>
        <v>0</v>
      </c>
      <c r="CL266" s="1">
        <f t="shared" si="345"/>
        <v>0</v>
      </c>
      <c r="CM266" s="1">
        <f t="shared" si="346"/>
        <v>17.5</v>
      </c>
      <c r="CN266" s="1">
        <f>IF(ISNA(VLOOKUP($CZ266,'Audit Values'!$A$2:$AE$439,2,FALSE)),'Preliminary SO66'!T263,VLOOKUP($CZ266,'Audit Values'!$A$2:$AE$439,20,FALSE))</f>
        <v>0.9</v>
      </c>
      <c r="CO266" s="1">
        <f t="shared" si="311"/>
        <v>0.9</v>
      </c>
      <c r="CP266" s="183">
        <v>0</v>
      </c>
      <c r="CQ266" s="1">
        <f t="shared" si="312"/>
        <v>0</v>
      </c>
      <c r="CR266" s="2">
        <f>IF(ISNA(VLOOKUP($CZ266,'Audit Values'!$A$2:$AE$439,2,FALSE)),'Preliminary SO66'!V263,VLOOKUP($CZ266,'Audit Values'!$A$2:$AE$439,22,FALSE))</f>
        <v>0</v>
      </c>
      <c r="CS266" s="1">
        <f t="shared" si="313"/>
        <v>0</v>
      </c>
      <c r="CT266" s="2">
        <f>IF(ISNA(VLOOKUP($CZ266,'Audit Values'!$A$2:$AE$439,2,FALSE)),'Preliminary SO66'!W263,VLOOKUP($CZ266,'Audit Values'!$A$2:$AE$439,23,FALSE))</f>
        <v>0</v>
      </c>
      <c r="CU266" s="1">
        <f t="shared" si="301"/>
        <v>0</v>
      </c>
      <c r="CV266" s="1">
        <f t="shared" si="302"/>
        <v>0.9</v>
      </c>
      <c r="CW266" s="176">
        <v>0</v>
      </c>
      <c r="CX266" s="2">
        <f>IF(CW266&gt;0,Weightings!$M$11*AR266,0)</f>
        <v>0</v>
      </c>
      <c r="CY266" s="2">
        <f t="shared" si="347"/>
        <v>0</v>
      </c>
      <c r="CZ266" s="108" t="s">
        <v>558</v>
      </c>
    </row>
    <row r="267" spans="1:104">
      <c r="A267" s="82">
        <v>487</v>
      </c>
      <c r="B267" s="4" t="s">
        <v>89</v>
      </c>
      <c r="C267" s="4" t="s">
        <v>893</v>
      </c>
      <c r="D267" s="1">
        <v>457.7</v>
      </c>
      <c r="E267" s="1">
        <v>6</v>
      </c>
      <c r="F267" s="1">
        <f t="shared" si="294"/>
        <v>463.7</v>
      </c>
      <c r="G267" s="1">
        <v>439.5</v>
      </c>
      <c r="H267" s="1">
        <v>7</v>
      </c>
      <c r="I267" s="1">
        <f t="shared" si="314"/>
        <v>446.5</v>
      </c>
      <c r="J267" s="1">
        <f t="shared" si="316"/>
        <v>440.8</v>
      </c>
      <c r="K267" s="1">
        <f>IF(ISNA(VLOOKUP($CZ267,'Audit Values'!$A$2:$AE$439,2,FALSE)),'Preliminary SO66'!B264,VLOOKUP($CZ267,'Audit Values'!$A$2:$AE$439,31,FALSE))</f>
        <v>426</v>
      </c>
      <c r="L267" s="1">
        <f t="shared" si="317"/>
        <v>446.5</v>
      </c>
      <c r="M267" s="1">
        <f>IF(ISNA(VLOOKUP($CZ267,'Audit Values'!$A$2:$AE$439,2,FALSE)),'Preliminary SO66'!Z264,VLOOKUP($CZ267,'Audit Values'!$A$2:$AE$439,26,FALSE))</f>
        <v>10</v>
      </c>
      <c r="N267" s="1">
        <f t="shared" si="318"/>
        <v>456.5</v>
      </c>
      <c r="O267" s="1">
        <f>IF(ISNA(VLOOKUP($CZ267,'Audit Values'!$A$2:$AE$439,2,FALSE)),'Preliminary SO66'!C264,IF(VLOOKUP($CZ267,'Audit Values'!$A$2:$AE$439,28,FALSE)="",VLOOKUP($CZ267,'Audit Values'!$A$2:$AE$439,3,FALSE),VLOOKUP($CZ267,'Audit Values'!$A$2:$AE$439,28,FALSE)))</f>
        <v>5.5</v>
      </c>
      <c r="P267" s="109">
        <f t="shared" si="319"/>
        <v>431.5</v>
      </c>
      <c r="Q267" s="110">
        <f t="shared" si="320"/>
        <v>446.3</v>
      </c>
      <c r="R267" s="111">
        <f t="shared" si="321"/>
        <v>456.3</v>
      </c>
      <c r="S267" s="1">
        <f t="shared" si="322"/>
        <v>462</v>
      </c>
      <c r="T267" s="1">
        <f t="shared" si="293"/>
        <v>14.8</v>
      </c>
      <c r="U267" s="1">
        <f t="shared" si="323"/>
        <v>198.3</v>
      </c>
      <c r="V267" s="1">
        <f t="shared" si="308"/>
        <v>198.3</v>
      </c>
      <c r="W267" s="1">
        <f t="shared" si="309"/>
        <v>0</v>
      </c>
      <c r="X267" s="1">
        <f>IF(ISNA(VLOOKUP($CZ267,'Audit Values'!$A$2:$AE$439,2,FALSE)),'Preliminary SO66'!D264,VLOOKUP($CZ267,'Audit Values'!$A$2:$AE$439,4,FALSE))</f>
        <v>87.6</v>
      </c>
      <c r="Y267" s="1">
        <f>ROUND((X267/6)*Weightings!$M$6,1)</f>
        <v>7.3</v>
      </c>
      <c r="Z267" s="1">
        <f>IF(ISNA(VLOOKUP($CZ267,'Audit Values'!$A$2:$AE$439,2,FALSE)),'Preliminary SO66'!F264,VLOOKUP($CZ267,'Audit Values'!$A$2:$AE$439,6,FALSE))</f>
        <v>0</v>
      </c>
      <c r="AA267" s="1">
        <f>ROUND((Z267/6)*Weightings!$M$7,1)</f>
        <v>0</v>
      </c>
      <c r="AB267" s="2">
        <f>IF(ISNA(VLOOKUP($CZ267,'Audit Values'!$A$2:$AE$439,2,FALSE)),'Preliminary SO66'!H264,VLOOKUP($CZ267,'Audit Values'!$A$2:$AE$439,8,FALSE))</f>
        <v>234</v>
      </c>
      <c r="AC267" s="1">
        <f>ROUND(AB267*Weightings!$M$8,1)</f>
        <v>106.7</v>
      </c>
      <c r="AD267" s="1">
        <f t="shared" si="304"/>
        <v>24.6</v>
      </c>
      <c r="AE267" s="185">
        <v>14</v>
      </c>
      <c r="AF267" s="1">
        <f>AE267*Weightings!$M$9</f>
        <v>0.7</v>
      </c>
      <c r="AG267" s="1">
        <f>IF(ISNA(VLOOKUP($CZ267,'Audit Values'!$A$2:$AE$439,2,FALSE)),'Preliminary SO66'!L264,VLOOKUP($CZ267,'Audit Values'!$A$2:$AE$439,12,FALSE))</f>
        <v>0</v>
      </c>
      <c r="AH267" s="1">
        <f>ROUND(AG267*Weightings!$M$10,1)</f>
        <v>0</v>
      </c>
      <c r="AI267" s="1">
        <f>IF(ISNA(VLOOKUP($CZ267,'Audit Values'!$A$2:$AE$439,2,FALSE)),'Preliminary SO66'!O264,VLOOKUP($CZ267,'Audit Values'!$A$2:$AE$439,15,FALSE))</f>
        <v>64</v>
      </c>
      <c r="AJ267" s="1">
        <f t="shared" si="324"/>
        <v>18.3</v>
      </c>
      <c r="AK267" s="1">
        <f>CC267/Weightings!$M$5</f>
        <v>0</v>
      </c>
      <c r="AL267" s="1">
        <f>CD267/Weightings!$M$5</f>
        <v>0</v>
      </c>
      <c r="AM267" s="1">
        <f>CH267/Weightings!$M$5</f>
        <v>0</v>
      </c>
      <c r="AN267" s="1">
        <f t="shared" si="310"/>
        <v>15.5</v>
      </c>
      <c r="AO267" s="1">
        <f>IF(ISNA(VLOOKUP($CZ267,'Audit Values'!$A$2:$AE$439,2,FALSE)),'Preliminary SO66'!X264,VLOOKUP($CZ267,'Audit Values'!$A$2:$AE$439,24,FALSE))</f>
        <v>0</v>
      </c>
      <c r="AP267" s="188">
        <v>423085</v>
      </c>
      <c r="AQ267" s="113">
        <f>AP267/Weightings!$M$5</f>
        <v>110.2</v>
      </c>
      <c r="AR267" s="113">
        <f t="shared" si="325"/>
        <v>833.4</v>
      </c>
      <c r="AS267" s="1">
        <f t="shared" si="326"/>
        <v>943.6</v>
      </c>
      <c r="AT267" s="1">
        <f t="shared" si="327"/>
        <v>943.6</v>
      </c>
      <c r="AU267" s="2">
        <f t="shared" si="341"/>
        <v>0</v>
      </c>
      <c r="AV267" s="142">
        <f>IF(ISNA(VLOOKUP($CZ267,'Audit Values'!$A$2:$AC$360,2,FALSE)),"",IF(AND(Weightings!H267&gt;0,VLOOKUP($CZ267,'Audit Values'!$A$2:$AC$360,29,FALSE)&lt;Weightings!H267),Weightings!H267,VLOOKUP($CZ267,'Audit Values'!$A$2:$AC$360,29,FALSE)))</f>
        <v>24</v>
      </c>
      <c r="AW267" s="142" t="str">
        <f>IF(ISNA(VLOOKUP($CZ267,'Audit Values'!$A$2:$AD$360,2,FALSE)),"",VLOOKUP($CZ267,'Audit Values'!$A$2:$AD$360,30,FALSE))</f>
        <v>AM</v>
      </c>
      <c r="AX267" s="159" t="str">
        <f>IF(Weightings!G267="","",IF(Weightings!I267="Pending","PX","R"))</f>
        <v/>
      </c>
      <c r="AY267" s="114">
        <f>AR267*Weightings!$M$5+AU267</f>
        <v>3198589</v>
      </c>
      <c r="AZ267" s="2">
        <f>AT267*Weightings!$M$5+AU267</f>
        <v>3621537</v>
      </c>
      <c r="BA267" s="2">
        <f>IF(Weightings!G267&gt;0,Weightings!G267,'Preliminary SO66'!AB264)</f>
        <v>3784268</v>
      </c>
      <c r="BB267" s="2">
        <f t="shared" si="328"/>
        <v>3621537</v>
      </c>
      <c r="BC267" s="124"/>
      <c r="BD267" s="124">
        <f>Weightings!E267</f>
        <v>0</v>
      </c>
      <c r="BE267" s="124">
        <f>Weightings!F267</f>
        <v>0</v>
      </c>
      <c r="BF267" s="2">
        <f t="shared" si="329"/>
        <v>0</v>
      </c>
      <c r="BG267" s="2">
        <f t="shared" si="330"/>
        <v>3621537</v>
      </c>
      <c r="BH267" s="2">
        <f>MAX(ROUND(((AR267-AO267)*4433)+AP267,0),ROUND(((AR267-AO267)*4433)+Weightings!B267,0))</f>
        <v>4158316</v>
      </c>
      <c r="BI267" s="174">
        <v>0.3</v>
      </c>
      <c r="BJ267" s="2">
        <f t="shared" si="298"/>
        <v>1247495</v>
      </c>
      <c r="BK267" s="173">
        <v>1070828</v>
      </c>
      <c r="BL267" s="2">
        <f t="shared" si="303"/>
        <v>1070828</v>
      </c>
      <c r="BM267" s="3">
        <f t="shared" si="315"/>
        <v>0.25750000000000001</v>
      </c>
      <c r="BN267" s="1">
        <f t="shared" si="331"/>
        <v>0</v>
      </c>
      <c r="BO267" s="4" t="b">
        <f t="shared" si="332"/>
        <v>0</v>
      </c>
      <c r="BP267" s="5">
        <f t="shared" si="333"/>
        <v>0</v>
      </c>
      <c r="BQ267" s="6">
        <f t="shared" si="306"/>
        <v>0</v>
      </c>
      <c r="BR267" s="4">
        <f t="shared" si="334"/>
        <v>0</v>
      </c>
      <c r="BS267" s="4" t="b">
        <f t="shared" si="335"/>
        <v>1</v>
      </c>
      <c r="BT267" s="4">
        <f t="shared" si="336"/>
        <v>200.47499999999999</v>
      </c>
      <c r="BU267" s="6">
        <f t="shared" si="307"/>
        <v>0.429147</v>
      </c>
      <c r="BV267" s="1">
        <f t="shared" si="337"/>
        <v>198.3</v>
      </c>
      <c r="BW267" s="1">
        <f t="shared" si="338"/>
        <v>0</v>
      </c>
      <c r="BX267" s="116">
        <v>93.7</v>
      </c>
      <c r="BY267" s="7">
        <f t="shared" si="342"/>
        <v>0.68</v>
      </c>
      <c r="BZ267" s="7">
        <f>IF(ROUND((Weightings!$P$5*BY267^Weightings!$P$6*Weightings!$P$8 ),2)&lt;Weightings!$P$7,Weightings!$P$7,ROUND((Weightings!$P$5*BY267^Weightings!$P$6*Weightings!$P$8 ),2))</f>
        <v>1094.4100000000001</v>
      </c>
      <c r="CA267" s="8">
        <f>ROUND(BZ267/Weightings!$M$5,4)</f>
        <v>0.28520000000000001</v>
      </c>
      <c r="CB267" s="1">
        <f t="shared" si="343"/>
        <v>18.3</v>
      </c>
      <c r="CC267" s="173">
        <v>0</v>
      </c>
      <c r="CD267" s="173">
        <v>0</v>
      </c>
      <c r="CE267" s="173">
        <v>0</v>
      </c>
      <c r="CF267" s="177">
        <v>0</v>
      </c>
      <c r="CG267" s="2">
        <f>AS267*Weightings!$M$5*CF267</f>
        <v>0</v>
      </c>
      <c r="CH267" s="2">
        <f t="shared" si="305"/>
        <v>0</v>
      </c>
      <c r="CI267" s="117">
        <f t="shared" si="339"/>
        <v>0.50600000000000001</v>
      </c>
      <c r="CJ267" s="4">
        <f t="shared" si="340"/>
        <v>4.9000000000000004</v>
      </c>
      <c r="CK267" s="1">
        <f t="shared" si="344"/>
        <v>24.6</v>
      </c>
      <c r="CL267" s="1">
        <f t="shared" si="345"/>
        <v>0</v>
      </c>
      <c r="CM267" s="1">
        <f t="shared" si="346"/>
        <v>0</v>
      </c>
      <c r="CN267" s="1">
        <f>IF(ISNA(VLOOKUP($CZ267,'Audit Values'!$A$2:$AE$439,2,FALSE)),'Preliminary SO66'!T264,VLOOKUP($CZ267,'Audit Values'!$A$2:$AE$439,20,FALSE))</f>
        <v>14.8</v>
      </c>
      <c r="CO267" s="1">
        <f t="shared" si="311"/>
        <v>15.5</v>
      </c>
      <c r="CP267" s="183">
        <v>0</v>
      </c>
      <c r="CQ267" s="1">
        <f t="shared" si="312"/>
        <v>0</v>
      </c>
      <c r="CR267" s="2">
        <f>IF(ISNA(VLOOKUP($CZ267,'Audit Values'!$A$2:$AE$439,2,FALSE)),'Preliminary SO66'!V264,VLOOKUP($CZ267,'Audit Values'!$A$2:$AE$439,22,FALSE))</f>
        <v>0</v>
      </c>
      <c r="CS267" s="1">
        <f t="shared" si="313"/>
        <v>0</v>
      </c>
      <c r="CT267" s="2">
        <f>IF(ISNA(VLOOKUP($CZ267,'Audit Values'!$A$2:$AE$439,2,FALSE)),'Preliminary SO66'!W264,VLOOKUP($CZ267,'Audit Values'!$A$2:$AE$439,23,FALSE))</f>
        <v>0</v>
      </c>
      <c r="CU267" s="1">
        <f>CT267*0.08</f>
        <v>0</v>
      </c>
      <c r="CV267" s="1">
        <f>CO267+CQ267+CS267+CU267</f>
        <v>15.5</v>
      </c>
      <c r="CW267" s="176">
        <v>0</v>
      </c>
      <c r="CX267" s="2">
        <f>IF(CW267&gt;0,Weightings!$M$11*AR267,0)</f>
        <v>0</v>
      </c>
      <c r="CY267" s="2">
        <f t="shared" si="347"/>
        <v>0</v>
      </c>
      <c r="CZ267" s="108" t="s">
        <v>559</v>
      </c>
    </row>
    <row r="268" spans="1:104">
      <c r="A268" s="82">
        <v>489</v>
      </c>
      <c r="B268" s="4" t="s">
        <v>86</v>
      </c>
      <c r="C268" s="4" t="s">
        <v>894</v>
      </c>
      <c r="D268" s="1">
        <v>2868.2</v>
      </c>
      <c r="E268" s="1">
        <v>0</v>
      </c>
      <c r="F268" s="1">
        <f t="shared" si="294"/>
        <v>2868.2</v>
      </c>
      <c r="G268" s="1">
        <v>2804.4</v>
      </c>
      <c r="H268" s="1">
        <v>0</v>
      </c>
      <c r="I268" s="1">
        <f t="shared" si="314"/>
        <v>2804.4</v>
      </c>
      <c r="J268" s="1">
        <f t="shared" si="316"/>
        <v>2802.7</v>
      </c>
      <c r="K268" s="1">
        <f>IF(ISNA(VLOOKUP($CZ268,'Audit Values'!$A$2:$AE$439,2,FALSE)),'Preliminary SO66'!B265,VLOOKUP($CZ268,'Audit Values'!$A$2:$AE$439,31,FALSE))</f>
        <v>2761.2</v>
      </c>
      <c r="L268" s="1">
        <f t="shared" si="317"/>
        <v>2811.3</v>
      </c>
      <c r="M268" s="1">
        <f>IF(ISNA(VLOOKUP($CZ268,'Audit Values'!$A$2:$AE$439,2,FALSE)),'Preliminary SO66'!Z265,VLOOKUP($CZ268,'Audit Values'!$A$2:$AE$439,26,FALSE))</f>
        <v>0</v>
      </c>
      <c r="N268" s="1">
        <f t="shared" si="318"/>
        <v>2811.3</v>
      </c>
      <c r="O268" s="1">
        <f>IF(ISNA(VLOOKUP($CZ268,'Audit Values'!$A$2:$AE$439,2,FALSE)),'Preliminary SO66'!C265,IF(VLOOKUP($CZ268,'Audit Values'!$A$2:$AE$439,28,FALSE)="",VLOOKUP($CZ268,'Audit Values'!$A$2:$AE$439,3,FALSE),VLOOKUP($CZ268,'Audit Values'!$A$2:$AE$439,28,FALSE)))</f>
        <v>19</v>
      </c>
      <c r="P268" s="109">
        <f t="shared" si="319"/>
        <v>2780.2</v>
      </c>
      <c r="Q268" s="110">
        <f t="shared" si="320"/>
        <v>2821.7</v>
      </c>
      <c r="R268" s="111">
        <f t="shared" si="321"/>
        <v>2821.7</v>
      </c>
      <c r="S268" s="1">
        <f t="shared" si="322"/>
        <v>2830.3</v>
      </c>
      <c r="T268" s="1">
        <f t="shared" ref="T268:T290" si="348">CN268</f>
        <v>41.5</v>
      </c>
      <c r="U268" s="1">
        <f t="shared" si="323"/>
        <v>99.2</v>
      </c>
      <c r="V268" s="1">
        <f t="shared" si="308"/>
        <v>0</v>
      </c>
      <c r="W268" s="1">
        <f t="shared" si="309"/>
        <v>99.2</v>
      </c>
      <c r="X268" s="1">
        <f>IF(ISNA(VLOOKUP($CZ268,'Audit Values'!$A$2:$AE$439,2,FALSE)),'Preliminary SO66'!D265,VLOOKUP($CZ268,'Audit Values'!$A$2:$AE$439,4,FALSE))</f>
        <v>480.8</v>
      </c>
      <c r="Y268" s="1">
        <f>ROUND((X268/6)*Weightings!$M$6,1)</f>
        <v>40.1</v>
      </c>
      <c r="Z268" s="1">
        <f>IF(ISNA(VLOOKUP($CZ268,'Audit Values'!$A$2:$AE$439,2,FALSE)),'Preliminary SO66'!F265,VLOOKUP($CZ268,'Audit Values'!$A$2:$AE$439,6,FALSE))</f>
        <v>550.1</v>
      </c>
      <c r="AA268" s="1">
        <f>ROUND((Z268/6)*Weightings!$M$7,1)</f>
        <v>36.200000000000003</v>
      </c>
      <c r="AB268" s="2">
        <f>IF(ISNA(VLOOKUP($CZ268,'Audit Values'!$A$2:$AE$439,2,FALSE)),'Preliminary SO66'!H265,VLOOKUP($CZ268,'Audit Values'!$A$2:$AE$439,8,FALSE))</f>
        <v>910</v>
      </c>
      <c r="AC268" s="1">
        <f>ROUND(AB268*Weightings!$M$8,1)</f>
        <v>415</v>
      </c>
      <c r="AD268" s="1">
        <f t="shared" si="304"/>
        <v>0</v>
      </c>
      <c r="AE268" s="185">
        <v>154</v>
      </c>
      <c r="AF268" s="1">
        <f>AE268*Weightings!$M$9</f>
        <v>7.2</v>
      </c>
      <c r="AG268" s="1">
        <f>IF(ISNA(VLOOKUP($CZ268,'Audit Values'!$A$2:$AE$439,2,FALSE)),'Preliminary SO66'!L265,VLOOKUP($CZ268,'Audit Values'!$A$2:$AE$439,12,FALSE))</f>
        <v>128</v>
      </c>
      <c r="AH268" s="1">
        <f>ROUND(AG268*Weightings!$M$10,1)</f>
        <v>32</v>
      </c>
      <c r="AI268" s="1">
        <f>IF(ISNA(VLOOKUP($CZ268,'Audit Values'!$A$2:$AE$439,2,FALSE)),'Preliminary SO66'!O265,VLOOKUP($CZ268,'Audit Values'!$A$2:$AE$439,15,FALSE))</f>
        <v>561.5</v>
      </c>
      <c r="AJ268" s="1">
        <f t="shared" si="324"/>
        <v>134.1</v>
      </c>
      <c r="AK268" s="1">
        <f>CC268/Weightings!$M$5</f>
        <v>0</v>
      </c>
      <c r="AL268" s="1">
        <f>CD268/Weightings!$M$5</f>
        <v>126</v>
      </c>
      <c r="AM268" s="1">
        <f>CH268/Weightings!$M$5</f>
        <v>0</v>
      </c>
      <c r="AN268" s="1">
        <f t="shared" si="310"/>
        <v>44.1</v>
      </c>
      <c r="AO268" s="1">
        <f>IF(ISNA(VLOOKUP($CZ268,'Audit Values'!$A$2:$AE$439,2,FALSE)),'Preliminary SO66'!X265,VLOOKUP($CZ268,'Audit Values'!$A$2:$AE$439,24,FALSE))</f>
        <v>0</v>
      </c>
      <c r="AP268" s="188">
        <v>2359146.9999999995</v>
      </c>
      <c r="AQ268" s="113">
        <f>AP268/Weightings!$M$5</f>
        <v>614.70000000000005</v>
      </c>
      <c r="AR268" s="113">
        <f t="shared" si="325"/>
        <v>3764.2</v>
      </c>
      <c r="AS268" s="1">
        <f t="shared" si="326"/>
        <v>4378.8999999999996</v>
      </c>
      <c r="AT268" s="1">
        <f t="shared" si="327"/>
        <v>4378.8999999999996</v>
      </c>
      <c r="AU268" s="2">
        <f t="shared" si="341"/>
        <v>35000</v>
      </c>
      <c r="AV268" s="82">
        <f>IF(ISNA(VLOOKUP($CZ268,'Audit Values'!$A$2:$AC$360,2,FALSE)),"",IF(AND(Weightings!H268&gt;0,VLOOKUP($CZ268,'Audit Values'!$A$2:$AC$360,29,FALSE)&lt;Weightings!H268),Weightings!H268,VLOOKUP($CZ268,'Audit Values'!$A$2:$AC$360,29,FALSE)))</f>
        <v>19</v>
      </c>
      <c r="AW268" s="82" t="str">
        <f>IF(ISNA(VLOOKUP($CZ268,'Audit Values'!$A$2:$AD$360,2,FALSE)),"",VLOOKUP($CZ268,'Audit Values'!$A$2:$AD$360,30,FALSE))</f>
        <v>A</v>
      </c>
      <c r="AX268" s="82" t="str">
        <f>IF(Weightings!G268="","",IF(Weightings!I268="Pending","PX","R"))</f>
        <v/>
      </c>
      <c r="AY268" s="114">
        <f>AR268*Weightings!$M$5+AU268</f>
        <v>14482000</v>
      </c>
      <c r="AZ268" s="2">
        <f>AT268*Weightings!$M$5+AU268</f>
        <v>16841218</v>
      </c>
      <c r="BA268" s="2">
        <f>IF(Weightings!G268&gt;0,Weightings!G268,'Preliminary SO66'!AB265)</f>
        <v>17921157</v>
      </c>
      <c r="BB268" s="2">
        <f t="shared" si="328"/>
        <v>16841218</v>
      </c>
      <c r="BC268" s="124"/>
      <c r="BD268" s="124">
        <f>Weightings!E268</f>
        <v>0</v>
      </c>
      <c r="BE268" s="124">
        <f>Weightings!F268</f>
        <v>0</v>
      </c>
      <c r="BF268" s="2">
        <f t="shared" si="329"/>
        <v>0</v>
      </c>
      <c r="BG268" s="2">
        <f t="shared" si="330"/>
        <v>16841218</v>
      </c>
      <c r="BH268" s="2">
        <f>MAX(ROUND(((AR268-AO268)*4433)+AP268,0),ROUND(((AR268-AO268)*4433)+Weightings!B268,0))</f>
        <v>19825111</v>
      </c>
      <c r="BI268" s="174">
        <v>0.3</v>
      </c>
      <c r="BJ268" s="2">
        <f t="shared" si="298"/>
        <v>5947533</v>
      </c>
      <c r="BK268" s="173">
        <v>6158987</v>
      </c>
      <c r="BL268" s="2">
        <f t="shared" si="303"/>
        <v>5947533</v>
      </c>
      <c r="BM268" s="3">
        <f t="shared" si="315"/>
        <v>0.3</v>
      </c>
      <c r="BN268" s="1">
        <f t="shared" si="331"/>
        <v>0</v>
      </c>
      <c r="BO268" s="4" t="b">
        <f t="shared" si="332"/>
        <v>0</v>
      </c>
      <c r="BP268" s="5">
        <f t="shared" si="333"/>
        <v>0</v>
      </c>
      <c r="BQ268" s="6">
        <f t="shared" si="306"/>
        <v>0</v>
      </c>
      <c r="BR268" s="4">
        <f t="shared" si="334"/>
        <v>0</v>
      </c>
      <c r="BS268" s="4" t="b">
        <f t="shared" si="335"/>
        <v>0</v>
      </c>
      <c r="BT268" s="4">
        <f t="shared" si="336"/>
        <v>0</v>
      </c>
      <c r="BU268" s="6">
        <f t="shared" si="307"/>
        <v>0</v>
      </c>
      <c r="BV268" s="1">
        <f t="shared" si="337"/>
        <v>0</v>
      </c>
      <c r="BW268" s="1">
        <f t="shared" si="338"/>
        <v>99.2</v>
      </c>
      <c r="BX268" s="116">
        <v>380.5</v>
      </c>
      <c r="BY268" s="7">
        <f t="shared" si="342"/>
        <v>1.48</v>
      </c>
      <c r="BZ268" s="7">
        <f>IF(ROUND((Weightings!$P$5*BY268^Weightings!$P$6*Weightings!$P$8 ),2)&lt;Weightings!$P$7,Weightings!$P$7,ROUND((Weightings!$P$5*BY268^Weightings!$P$6*Weightings!$P$8 ),2))</f>
        <v>916.51</v>
      </c>
      <c r="CA268" s="8">
        <f>ROUND(BZ268/Weightings!$M$5,4)</f>
        <v>0.23880000000000001</v>
      </c>
      <c r="CB268" s="1">
        <f t="shared" si="343"/>
        <v>134.1</v>
      </c>
      <c r="CC268" s="173">
        <v>0</v>
      </c>
      <c r="CD268" s="173">
        <v>483454</v>
      </c>
      <c r="CE268" s="173">
        <v>0</v>
      </c>
      <c r="CF268" s="177">
        <v>0</v>
      </c>
      <c r="CG268" s="2">
        <f>AS268*Weightings!$M$5*CF268</f>
        <v>0</v>
      </c>
      <c r="CH268" s="2">
        <f t="shared" si="305"/>
        <v>0</v>
      </c>
      <c r="CI268" s="117">
        <f t="shared" si="339"/>
        <v>0.32200000000000001</v>
      </c>
      <c r="CJ268" s="4">
        <f t="shared" si="340"/>
        <v>7.4</v>
      </c>
      <c r="CK268" s="1">
        <f t="shared" si="344"/>
        <v>0</v>
      </c>
      <c r="CL268" s="1">
        <f t="shared" si="345"/>
        <v>0</v>
      </c>
      <c r="CM268" s="1">
        <f t="shared" si="346"/>
        <v>0</v>
      </c>
      <c r="CN268" s="1">
        <f>IF(ISNA(VLOOKUP($CZ268,'Audit Values'!$A$2:$AE$439,2,FALSE)),'Preliminary SO66'!T265,VLOOKUP($CZ268,'Audit Values'!$A$2:$AE$439,20,FALSE))</f>
        <v>41.5</v>
      </c>
      <c r="CO268" s="1">
        <f t="shared" si="311"/>
        <v>43.6</v>
      </c>
      <c r="CP268" s="181">
        <v>2</v>
      </c>
      <c r="CQ268" s="1">
        <f t="shared" si="312"/>
        <v>0.5</v>
      </c>
      <c r="CR268" s="2">
        <f>IF(ISNA(VLOOKUP($CZ268,'Audit Values'!$A$2:$AE$439,2,FALSE)),'Preliminary SO66'!V265,VLOOKUP($CZ268,'Audit Values'!$A$2:$AE$439,22,FALSE))</f>
        <v>0</v>
      </c>
      <c r="CS268" s="1">
        <f t="shared" si="313"/>
        <v>0</v>
      </c>
      <c r="CT268" s="2">
        <f>IF(ISNA(VLOOKUP($CZ268,'Audit Values'!$A$2:$AE$439,2,FALSE)),'Preliminary SO66'!W265,VLOOKUP($CZ268,'Audit Values'!$A$2:$AE$439,23,FALSE))</f>
        <v>0</v>
      </c>
      <c r="CU268" s="1">
        <f t="shared" ref="CU268:CU290" si="349">CT268*0.08</f>
        <v>0</v>
      </c>
      <c r="CV268" s="1">
        <f t="shared" ref="CV268:CV290" si="350">CO268+CQ268+CS268+CU268</f>
        <v>44.1</v>
      </c>
      <c r="CW268" s="176">
        <v>35000</v>
      </c>
      <c r="CX268" s="2">
        <f>IF(CW268&gt;0,Weightings!$M$11*AR268,0)</f>
        <v>941050</v>
      </c>
      <c r="CY268" s="2">
        <f t="shared" si="347"/>
        <v>35000</v>
      </c>
      <c r="CZ268" s="108" t="s">
        <v>560</v>
      </c>
    </row>
    <row r="269" spans="1:104">
      <c r="A269" s="82">
        <v>490</v>
      </c>
      <c r="B269" s="4" t="s">
        <v>12</v>
      </c>
      <c r="C269" s="4" t="s">
        <v>895</v>
      </c>
      <c r="D269" s="1">
        <v>1873</v>
      </c>
      <c r="E269" s="1">
        <v>0</v>
      </c>
      <c r="F269" s="1">
        <f t="shared" si="294"/>
        <v>1873</v>
      </c>
      <c r="G269" s="1">
        <v>1900.1</v>
      </c>
      <c r="H269" s="1">
        <v>0</v>
      </c>
      <c r="I269" s="1">
        <f t="shared" si="314"/>
        <v>1900.1</v>
      </c>
      <c r="J269" s="1">
        <f t="shared" si="316"/>
        <v>1857.4</v>
      </c>
      <c r="K269" s="1">
        <f>IF(ISNA(VLOOKUP($CZ269,'Audit Values'!$A$2:$AE$439,2,FALSE)),'Preliminary SO66'!B266,VLOOKUP($CZ269,'Audit Values'!$A$2:$AE$439,31,FALSE))</f>
        <v>1849.6</v>
      </c>
      <c r="L269" s="1">
        <f t="shared" si="317"/>
        <v>1900.1</v>
      </c>
      <c r="M269" s="1">
        <f>IF(ISNA(VLOOKUP($CZ269,'Audit Values'!$A$2:$AE$439,2,FALSE)),'Preliminary SO66'!Z266,VLOOKUP($CZ269,'Audit Values'!$A$2:$AE$439,26,FALSE))</f>
        <v>0</v>
      </c>
      <c r="N269" s="1">
        <f t="shared" si="318"/>
        <v>1900.1</v>
      </c>
      <c r="O269" s="1">
        <f>IF(ISNA(VLOOKUP($CZ269,'Audit Values'!$A$2:$AE$439,2,FALSE)),'Preliminary SO66'!C266,IF(VLOOKUP($CZ269,'Audit Values'!$A$2:$AE$439,28,FALSE)="",VLOOKUP($CZ269,'Audit Values'!$A$2:$AE$439,3,FALSE),VLOOKUP($CZ269,'Audit Values'!$A$2:$AE$439,28,FALSE)))</f>
        <v>15</v>
      </c>
      <c r="P269" s="109">
        <f t="shared" si="319"/>
        <v>1864.6</v>
      </c>
      <c r="Q269" s="110">
        <f t="shared" si="320"/>
        <v>1872.4</v>
      </c>
      <c r="R269" s="111">
        <f t="shared" si="321"/>
        <v>1872.4</v>
      </c>
      <c r="S269" s="1">
        <f t="shared" si="322"/>
        <v>1915.1</v>
      </c>
      <c r="T269" s="1">
        <f t="shared" si="348"/>
        <v>7.8</v>
      </c>
      <c r="U269" s="1">
        <f t="shared" si="323"/>
        <v>67.099999999999994</v>
      </c>
      <c r="V269" s="1">
        <f t="shared" si="308"/>
        <v>0</v>
      </c>
      <c r="W269" s="1">
        <f t="shared" si="309"/>
        <v>67.099999999999994</v>
      </c>
      <c r="X269" s="1">
        <f>IF(ISNA(VLOOKUP($CZ269,'Audit Values'!$A$2:$AE$439,2,FALSE)),'Preliminary SO66'!D266,VLOOKUP($CZ269,'Audit Values'!$A$2:$AE$439,4,FALSE))</f>
        <v>288.7</v>
      </c>
      <c r="Y269" s="1">
        <f>ROUND((X269/6)*Weightings!$M$6,1)</f>
        <v>24.1</v>
      </c>
      <c r="Z269" s="1">
        <f>IF(ISNA(VLOOKUP($CZ269,'Audit Values'!$A$2:$AE$439,2,FALSE)),'Preliminary SO66'!F266,VLOOKUP($CZ269,'Audit Values'!$A$2:$AE$439,6,FALSE))</f>
        <v>6.5</v>
      </c>
      <c r="AA269" s="1">
        <f>ROUND((Z269/6)*Weightings!$M$7,1)</f>
        <v>0.4</v>
      </c>
      <c r="AB269" s="2">
        <f>IF(ISNA(VLOOKUP($CZ269,'Audit Values'!$A$2:$AE$439,2,FALSE)),'Preliminary SO66'!H266,VLOOKUP($CZ269,'Audit Values'!$A$2:$AE$439,8,FALSE))</f>
        <v>867</v>
      </c>
      <c r="AC269" s="1">
        <f>ROUND(AB269*Weightings!$M$8,1)</f>
        <v>395.4</v>
      </c>
      <c r="AD269" s="1">
        <f t="shared" si="304"/>
        <v>62.5</v>
      </c>
      <c r="AE269" s="185">
        <v>101</v>
      </c>
      <c r="AF269" s="1">
        <f>AE269*Weightings!$M$9</f>
        <v>4.7</v>
      </c>
      <c r="AG269" s="1">
        <f>IF(ISNA(VLOOKUP($CZ269,'Audit Values'!$A$2:$AE$439,2,FALSE)),'Preliminary SO66'!L266,VLOOKUP($CZ269,'Audit Values'!$A$2:$AE$439,12,FALSE))</f>
        <v>344.5</v>
      </c>
      <c r="AH269" s="1">
        <f>ROUND(AG269*Weightings!$M$10,1)</f>
        <v>86.1</v>
      </c>
      <c r="AI269" s="1">
        <f>IF(ISNA(VLOOKUP($CZ269,'Audit Values'!$A$2:$AE$439,2,FALSE)),'Preliminary SO66'!O266,VLOOKUP($CZ269,'Audit Values'!$A$2:$AE$439,15,FALSE))</f>
        <v>417</v>
      </c>
      <c r="AJ269" s="1">
        <f t="shared" si="324"/>
        <v>83.1</v>
      </c>
      <c r="AK269" s="1">
        <f>CC269/Weightings!$M$5</f>
        <v>0</v>
      </c>
      <c r="AL269" s="1">
        <f>CD269/Weightings!$M$5</f>
        <v>0</v>
      </c>
      <c r="AM269" s="1">
        <f>CH269/Weightings!$M$5</f>
        <v>0</v>
      </c>
      <c r="AN269" s="1">
        <f t="shared" si="310"/>
        <v>8.1999999999999993</v>
      </c>
      <c r="AO269" s="1">
        <f>IF(ISNA(VLOOKUP($CZ269,'Audit Values'!$A$2:$AE$439,2,FALSE)),'Preliminary SO66'!X266,VLOOKUP($CZ269,'Audit Values'!$A$2:$AE$439,24,FALSE))</f>
        <v>0</v>
      </c>
      <c r="AP269" s="188">
        <v>1550396</v>
      </c>
      <c r="AQ269" s="113">
        <f>AP269/Weightings!$M$5</f>
        <v>404</v>
      </c>
      <c r="AR269" s="113">
        <f t="shared" si="325"/>
        <v>2646.7</v>
      </c>
      <c r="AS269" s="1">
        <f t="shared" si="326"/>
        <v>3050.7</v>
      </c>
      <c r="AT269" s="1">
        <f t="shared" si="327"/>
        <v>3050.7</v>
      </c>
      <c r="AU269" s="2">
        <f t="shared" si="341"/>
        <v>0</v>
      </c>
      <c r="AV269" s="82">
        <f>IF(ISNA(VLOOKUP($CZ269,'Audit Values'!$A$2:$AC$360,2,FALSE)),"",IF(AND(Weightings!H269&gt;0,VLOOKUP($CZ269,'Audit Values'!$A$2:$AC$360,29,FALSE)&lt;Weightings!H269),Weightings!H269,VLOOKUP($CZ269,'Audit Values'!$A$2:$AC$360,29,FALSE)))</f>
        <v>14</v>
      </c>
      <c r="AW269" s="82" t="str">
        <f>IF(ISNA(VLOOKUP($CZ269,'Audit Values'!$A$2:$AD$360,2,FALSE)),"",VLOOKUP($CZ269,'Audit Values'!$A$2:$AD$360,30,FALSE))</f>
        <v>A</v>
      </c>
      <c r="AX269" s="82" t="str">
        <f>IF(Weightings!G269="","",IF(Weightings!I269="Pending","PX","R"))</f>
        <v>R</v>
      </c>
      <c r="AY269" s="114">
        <f>AR269*Weightings!$M$5+AU269</f>
        <v>10158035</v>
      </c>
      <c r="AZ269" s="2">
        <f>AT269*Weightings!$M$5+AU269</f>
        <v>11708587</v>
      </c>
      <c r="BA269" s="2">
        <f>IF(Weightings!G269&gt;0,Weightings!G269,'Preliminary SO66'!AB266)</f>
        <v>11866712</v>
      </c>
      <c r="BB269" s="2">
        <f t="shared" si="328"/>
        <v>11708587</v>
      </c>
      <c r="BC269" s="124"/>
      <c r="BD269" s="124">
        <f>Weightings!E269</f>
        <v>0</v>
      </c>
      <c r="BE269" s="124">
        <f>Weightings!F269</f>
        <v>0</v>
      </c>
      <c r="BF269" s="2">
        <f t="shared" si="329"/>
        <v>0</v>
      </c>
      <c r="BG269" s="2">
        <f t="shared" si="330"/>
        <v>11708587</v>
      </c>
      <c r="BH269" s="2">
        <f>MAX(ROUND(((AR269-AO269)*4433)+AP269,0),ROUND(((AR269-AO269)*4433)+Weightings!B269,0))</f>
        <v>13616223</v>
      </c>
      <c r="BI269" s="174">
        <v>0.3</v>
      </c>
      <c r="BJ269" s="2">
        <f t="shared" si="298"/>
        <v>4084867</v>
      </c>
      <c r="BK269" s="173">
        <v>4094442</v>
      </c>
      <c r="BL269" s="2">
        <f t="shared" si="303"/>
        <v>4084867</v>
      </c>
      <c r="BM269" s="3">
        <f t="shared" si="315"/>
        <v>0.3</v>
      </c>
      <c r="BN269" s="1">
        <f t="shared" si="331"/>
        <v>0</v>
      </c>
      <c r="BO269" s="4" t="b">
        <f t="shared" si="332"/>
        <v>0</v>
      </c>
      <c r="BP269" s="5">
        <f t="shared" si="333"/>
        <v>0</v>
      </c>
      <c r="BQ269" s="6">
        <f t="shared" si="306"/>
        <v>0</v>
      </c>
      <c r="BR269" s="4">
        <f t="shared" si="334"/>
        <v>0</v>
      </c>
      <c r="BS269" s="4" t="b">
        <f t="shared" si="335"/>
        <v>0</v>
      </c>
      <c r="BT269" s="4">
        <f t="shared" si="336"/>
        <v>0</v>
      </c>
      <c r="BU269" s="6">
        <f t="shared" si="307"/>
        <v>0</v>
      </c>
      <c r="BV269" s="1">
        <f t="shared" si="337"/>
        <v>0</v>
      </c>
      <c r="BW269" s="1">
        <f t="shared" si="338"/>
        <v>67.099999999999994</v>
      </c>
      <c r="BX269" s="116">
        <v>128</v>
      </c>
      <c r="BY269" s="7">
        <f t="shared" si="342"/>
        <v>3.26</v>
      </c>
      <c r="BZ269" s="7">
        <f>IF(ROUND((Weightings!$P$5*BY269^Weightings!$P$6*Weightings!$P$8 ),2)&lt;Weightings!$P$7,Weightings!$P$7,ROUND((Weightings!$P$5*BY269^Weightings!$P$6*Weightings!$P$8 ),2))</f>
        <v>765.44</v>
      </c>
      <c r="CA269" s="8">
        <f>ROUND(BZ269/Weightings!$M$5,4)</f>
        <v>0.19939999999999999</v>
      </c>
      <c r="CB269" s="1">
        <f t="shared" si="343"/>
        <v>83.1</v>
      </c>
      <c r="CC269" s="173">
        <v>0</v>
      </c>
      <c r="CD269" s="173">
        <v>0</v>
      </c>
      <c r="CE269" s="173">
        <v>0</v>
      </c>
      <c r="CF269" s="177">
        <v>0</v>
      </c>
      <c r="CG269" s="2">
        <f>AS269*Weightings!$M$5*CF269</f>
        <v>0</v>
      </c>
      <c r="CH269" s="2">
        <f t="shared" si="305"/>
        <v>0</v>
      </c>
      <c r="CI269" s="117">
        <f t="shared" si="339"/>
        <v>0.45300000000000001</v>
      </c>
      <c r="CJ269" s="4">
        <f t="shared" si="340"/>
        <v>15</v>
      </c>
      <c r="CK269" s="1">
        <f t="shared" si="344"/>
        <v>0</v>
      </c>
      <c r="CL269" s="1">
        <f t="shared" si="345"/>
        <v>0</v>
      </c>
      <c r="CM269" s="1">
        <f t="shared" si="346"/>
        <v>62.5</v>
      </c>
      <c r="CN269" s="1">
        <f>IF(ISNA(VLOOKUP($CZ269,'Audit Values'!$A$2:$AE$439,2,FALSE)),'Preliminary SO66'!T266,VLOOKUP($CZ269,'Audit Values'!$A$2:$AE$439,20,FALSE))</f>
        <v>7.8</v>
      </c>
      <c r="CO269" s="1">
        <f t="shared" si="311"/>
        <v>8.1999999999999993</v>
      </c>
      <c r="CP269" s="183">
        <v>0</v>
      </c>
      <c r="CQ269" s="1">
        <f t="shared" si="312"/>
        <v>0</v>
      </c>
      <c r="CR269" s="2">
        <f>IF(ISNA(VLOOKUP($CZ269,'Audit Values'!$A$2:$AE$439,2,FALSE)),'Preliminary SO66'!V266,VLOOKUP($CZ269,'Audit Values'!$A$2:$AE$439,22,FALSE))</f>
        <v>0</v>
      </c>
      <c r="CS269" s="1">
        <f t="shared" si="313"/>
        <v>0</v>
      </c>
      <c r="CT269" s="2">
        <f>IF(ISNA(VLOOKUP($CZ269,'Audit Values'!$A$2:$AE$439,2,FALSE)),'Preliminary SO66'!W266,VLOOKUP($CZ269,'Audit Values'!$A$2:$AE$439,23,FALSE))</f>
        <v>0</v>
      </c>
      <c r="CU269" s="1">
        <f t="shared" si="349"/>
        <v>0</v>
      </c>
      <c r="CV269" s="1">
        <f t="shared" si="350"/>
        <v>8.1999999999999993</v>
      </c>
      <c r="CW269" s="176">
        <v>0</v>
      </c>
      <c r="CX269" s="2">
        <f>IF(CW269&gt;0,Weightings!$M$11*AR269,0)</f>
        <v>0</v>
      </c>
      <c r="CY269" s="2">
        <f t="shared" si="347"/>
        <v>0</v>
      </c>
      <c r="CZ269" s="108" t="s">
        <v>561</v>
      </c>
    </row>
    <row r="270" spans="1:104">
      <c r="A270" s="82">
        <v>491</v>
      </c>
      <c r="B270" s="4" t="s">
        <v>65</v>
      </c>
      <c r="C270" s="4" t="s">
        <v>896</v>
      </c>
      <c r="D270" s="1">
        <v>1485.5</v>
      </c>
      <c r="E270" s="1">
        <v>0</v>
      </c>
      <c r="F270" s="1">
        <f t="shared" si="294"/>
        <v>1485.5</v>
      </c>
      <c r="G270" s="1">
        <v>1522.8</v>
      </c>
      <c r="H270" s="1">
        <v>0</v>
      </c>
      <c r="I270" s="1">
        <f t="shared" si="314"/>
        <v>1522.8</v>
      </c>
      <c r="J270" s="1">
        <f t="shared" si="316"/>
        <v>1571.7</v>
      </c>
      <c r="K270" s="1">
        <f>IF(ISNA(VLOOKUP($CZ270,'Audit Values'!$A$2:$AE$439,2,FALSE)),'Preliminary SO66'!B267,VLOOKUP($CZ270,'Audit Values'!$A$2:$AE$439,31,FALSE))</f>
        <v>1571.7</v>
      </c>
      <c r="L270" s="1">
        <f t="shared" si="317"/>
        <v>1571.7</v>
      </c>
      <c r="M270" s="1">
        <f>IF(ISNA(VLOOKUP($CZ270,'Audit Values'!$A$2:$AE$439,2,FALSE)),'Preliminary SO66'!Z267,VLOOKUP($CZ270,'Audit Values'!$A$2:$AE$439,26,FALSE))</f>
        <v>0</v>
      </c>
      <c r="N270" s="1">
        <f t="shared" si="318"/>
        <v>1571.7</v>
      </c>
      <c r="O270" s="1">
        <f>IF(ISNA(VLOOKUP($CZ270,'Audit Values'!$A$2:$AE$439,2,FALSE)),'Preliminary SO66'!C267,IF(VLOOKUP($CZ270,'Audit Values'!$A$2:$AE$439,28,FALSE)="",VLOOKUP($CZ270,'Audit Values'!$A$2:$AE$439,3,FALSE),VLOOKUP($CZ270,'Audit Values'!$A$2:$AE$439,28,FALSE)))</f>
        <v>0</v>
      </c>
      <c r="P270" s="109">
        <f t="shared" si="319"/>
        <v>1571.7</v>
      </c>
      <c r="Q270" s="110">
        <f t="shared" si="320"/>
        <v>1571.7</v>
      </c>
      <c r="R270" s="111">
        <f t="shared" si="321"/>
        <v>1571.7</v>
      </c>
      <c r="S270" s="1">
        <f t="shared" si="322"/>
        <v>1571.7</v>
      </c>
      <c r="T270" s="1">
        <f t="shared" si="348"/>
        <v>0</v>
      </c>
      <c r="U270" s="1">
        <f t="shared" si="323"/>
        <v>81.900000000000006</v>
      </c>
      <c r="V270" s="1">
        <f t="shared" si="308"/>
        <v>81.900000000000006</v>
      </c>
      <c r="W270" s="1">
        <f t="shared" si="309"/>
        <v>0</v>
      </c>
      <c r="X270" s="1">
        <f>IF(ISNA(VLOOKUP($CZ270,'Audit Values'!$A$2:$AE$439,2,FALSE)),'Preliminary SO66'!D267,VLOOKUP($CZ270,'Audit Values'!$A$2:$AE$439,4,FALSE))</f>
        <v>506.9</v>
      </c>
      <c r="Y270" s="1">
        <f>ROUND((X270/6)*Weightings!$M$6,1)</f>
        <v>42.2</v>
      </c>
      <c r="Z270" s="1">
        <f>IF(ISNA(VLOOKUP($CZ270,'Audit Values'!$A$2:$AE$439,2,FALSE)),'Preliminary SO66'!F267,VLOOKUP($CZ270,'Audit Values'!$A$2:$AE$439,6,FALSE))</f>
        <v>21.6</v>
      </c>
      <c r="AA270" s="1">
        <f>ROUND((Z270/6)*Weightings!$M$7,1)</f>
        <v>1.4</v>
      </c>
      <c r="AB270" s="2">
        <f>IF(ISNA(VLOOKUP($CZ270,'Audit Values'!$A$2:$AE$439,2,FALSE)),'Preliminary SO66'!H267,VLOOKUP($CZ270,'Audit Values'!$A$2:$AE$439,8,FALSE))</f>
        <v>462</v>
      </c>
      <c r="AC270" s="1">
        <f>ROUND(AB270*Weightings!$M$8,1)</f>
        <v>210.7</v>
      </c>
      <c r="AD270" s="1">
        <f t="shared" si="304"/>
        <v>0</v>
      </c>
      <c r="AE270" s="185">
        <v>110</v>
      </c>
      <c r="AF270" s="1">
        <f>AE270*Weightings!$M$9</f>
        <v>5.0999999999999996</v>
      </c>
      <c r="AG270" s="1">
        <f>IF(ISNA(VLOOKUP($CZ270,'Audit Values'!$A$2:$AE$439,2,FALSE)),'Preliminary SO66'!L267,VLOOKUP($CZ270,'Audit Values'!$A$2:$AE$439,12,FALSE))</f>
        <v>0</v>
      </c>
      <c r="AH270" s="1">
        <f>ROUND(AG270*Weightings!$M$10,1)</f>
        <v>0</v>
      </c>
      <c r="AI270" s="1">
        <f>IF(ISNA(VLOOKUP($CZ270,'Audit Values'!$A$2:$AE$439,2,FALSE)),'Preliminary SO66'!O267,VLOOKUP($CZ270,'Audit Values'!$A$2:$AE$439,15,FALSE))</f>
        <v>153</v>
      </c>
      <c r="AJ270" s="1">
        <f t="shared" si="324"/>
        <v>31.4</v>
      </c>
      <c r="AK270" s="1">
        <f>CC270/Weightings!$M$5</f>
        <v>0</v>
      </c>
      <c r="AL270" s="1">
        <f>CD270/Weightings!$M$5</f>
        <v>0</v>
      </c>
      <c r="AM270" s="1">
        <f>CH270/Weightings!$M$5</f>
        <v>0</v>
      </c>
      <c r="AN270" s="1">
        <f t="shared" si="310"/>
        <v>0</v>
      </c>
      <c r="AO270" s="1">
        <f>IF(ISNA(VLOOKUP($CZ270,'Audit Values'!$A$2:$AE$439,2,FALSE)),'Preliminary SO66'!X267,VLOOKUP($CZ270,'Audit Values'!$A$2:$AE$439,24,FALSE))</f>
        <v>0</v>
      </c>
      <c r="AP270" s="188">
        <v>1510382</v>
      </c>
      <c r="AQ270" s="113">
        <f>AP270/Weightings!$M$5</f>
        <v>393.5</v>
      </c>
      <c r="AR270" s="113">
        <f t="shared" si="325"/>
        <v>1944.4</v>
      </c>
      <c r="AS270" s="1">
        <f t="shared" si="326"/>
        <v>2337.9</v>
      </c>
      <c r="AT270" s="1">
        <f t="shared" si="327"/>
        <v>2337.9</v>
      </c>
      <c r="AU270" s="2">
        <f t="shared" si="341"/>
        <v>0</v>
      </c>
      <c r="AV270" s="82">
        <f>IF(ISNA(VLOOKUP($CZ270,'Audit Values'!$A$2:$AC$360,2,FALSE)),"",IF(AND(Weightings!H270&gt;0,VLOOKUP($CZ270,'Audit Values'!$A$2:$AC$360,29,FALSE)&lt;Weightings!H270),Weightings!H270,VLOOKUP($CZ270,'Audit Values'!$A$2:$AC$360,29,FALSE)))</f>
        <v>4</v>
      </c>
      <c r="AW270" s="82" t="str">
        <f>IF(ISNA(VLOOKUP($CZ270,'Audit Values'!$A$2:$AD$360,2,FALSE)),"",VLOOKUP($CZ270,'Audit Values'!$A$2:$AD$360,30,FALSE))</f>
        <v>A</v>
      </c>
      <c r="AX270" s="82" t="str">
        <f>IF(Weightings!G270="","",IF(Weightings!I270="Pending","PX","R"))</f>
        <v/>
      </c>
      <c r="AY270" s="114">
        <f>AR270*Weightings!$M$5+AU270</f>
        <v>7462607</v>
      </c>
      <c r="AZ270" s="2">
        <f>AT270*Weightings!$M$5+AU270</f>
        <v>8972860</v>
      </c>
      <c r="BA270" s="2">
        <f>IF(Weightings!G270&gt;0,Weightings!G270,'Preliminary SO66'!AB267)</f>
        <v>9217341</v>
      </c>
      <c r="BB270" s="2">
        <f t="shared" si="328"/>
        <v>8972860</v>
      </c>
      <c r="BC270" s="124"/>
      <c r="BD270" s="124">
        <f>Weightings!E270</f>
        <v>0</v>
      </c>
      <c r="BE270" s="124">
        <f>Weightings!F270</f>
        <v>0</v>
      </c>
      <c r="BF270" s="2">
        <f t="shared" si="329"/>
        <v>0</v>
      </c>
      <c r="BG270" s="2">
        <f t="shared" si="330"/>
        <v>8972860</v>
      </c>
      <c r="BH270" s="2">
        <f>MAX(ROUND(((AR270-AO270)*4433)+AP270,0),ROUND(((AR270-AO270)*4433)+Weightings!B270,0))</f>
        <v>10129907</v>
      </c>
      <c r="BI270" s="174">
        <v>0.3</v>
      </c>
      <c r="BJ270" s="2">
        <f t="shared" si="298"/>
        <v>3038972</v>
      </c>
      <c r="BK270" s="173">
        <v>3112610</v>
      </c>
      <c r="BL270" s="2">
        <f t="shared" si="303"/>
        <v>3038972</v>
      </c>
      <c r="BM270" s="3">
        <f t="shared" si="315"/>
        <v>0.3</v>
      </c>
      <c r="BN270" s="1">
        <f t="shared" si="331"/>
        <v>0</v>
      </c>
      <c r="BO270" s="4" t="b">
        <f t="shared" si="332"/>
        <v>0</v>
      </c>
      <c r="BP270" s="5">
        <f t="shared" si="333"/>
        <v>0</v>
      </c>
      <c r="BQ270" s="6">
        <f t="shared" si="306"/>
        <v>0</v>
      </c>
      <c r="BR270" s="4">
        <f t="shared" si="334"/>
        <v>0</v>
      </c>
      <c r="BS270" s="4" t="b">
        <f t="shared" si="335"/>
        <v>1</v>
      </c>
      <c r="BT270" s="4">
        <f t="shared" si="336"/>
        <v>1573.7288000000001</v>
      </c>
      <c r="BU270" s="6">
        <f t="shared" si="307"/>
        <v>5.2128000000000001E-2</v>
      </c>
      <c r="BV270" s="1">
        <f t="shared" si="337"/>
        <v>81.900000000000006</v>
      </c>
      <c r="BW270" s="1">
        <f t="shared" si="338"/>
        <v>0</v>
      </c>
      <c r="BX270" s="116">
        <v>53</v>
      </c>
      <c r="BY270" s="7">
        <f t="shared" si="342"/>
        <v>2.89</v>
      </c>
      <c r="BZ270" s="7">
        <f>IF(ROUND((Weightings!$P$5*BY270^Weightings!$P$6*Weightings!$P$8 ),2)&lt;Weightings!$P$7,Weightings!$P$7,ROUND((Weightings!$P$5*BY270^Weightings!$P$6*Weightings!$P$8 ),2))</f>
        <v>786.76</v>
      </c>
      <c r="CA270" s="8">
        <f>ROUND(BZ270/Weightings!$M$5,4)</f>
        <v>0.20499999999999999</v>
      </c>
      <c r="CB270" s="1">
        <f t="shared" si="343"/>
        <v>31.4</v>
      </c>
      <c r="CC270" s="173">
        <v>0</v>
      </c>
      <c r="CD270" s="173">
        <v>0</v>
      </c>
      <c r="CE270" s="173">
        <v>0</v>
      </c>
      <c r="CF270" s="177">
        <v>3.3E-3</v>
      </c>
      <c r="CG270" s="2">
        <f>AS270*Weightings!$M$5*CF270</f>
        <v>29610</v>
      </c>
      <c r="CH270" s="2">
        <f t="shared" si="305"/>
        <v>0</v>
      </c>
      <c r="CI270" s="117">
        <f t="shared" si="339"/>
        <v>0.29399999999999998</v>
      </c>
      <c r="CJ270" s="4">
        <f t="shared" si="340"/>
        <v>29.7</v>
      </c>
      <c r="CK270" s="1">
        <f t="shared" si="344"/>
        <v>0</v>
      </c>
      <c r="CL270" s="1">
        <f t="shared" si="345"/>
        <v>0</v>
      </c>
      <c r="CM270" s="1">
        <f t="shared" si="346"/>
        <v>0</v>
      </c>
      <c r="CN270" s="1">
        <f>IF(ISNA(VLOOKUP($CZ270,'Audit Values'!$A$2:$AE$439,2,FALSE)),'Preliminary SO66'!T267,VLOOKUP($CZ270,'Audit Values'!$A$2:$AE$439,20,FALSE))</f>
        <v>0</v>
      </c>
      <c r="CO270" s="1">
        <f t="shared" si="311"/>
        <v>0</v>
      </c>
      <c r="CP270" s="183">
        <v>0</v>
      </c>
      <c r="CQ270" s="1">
        <f t="shared" si="312"/>
        <v>0</v>
      </c>
      <c r="CR270" s="2">
        <f>IF(ISNA(VLOOKUP($CZ270,'Audit Values'!$A$2:$AE$439,2,FALSE)),'Preliminary SO66'!V267,VLOOKUP($CZ270,'Audit Values'!$A$2:$AE$439,22,FALSE))</f>
        <v>0</v>
      </c>
      <c r="CS270" s="1">
        <f t="shared" si="313"/>
        <v>0</v>
      </c>
      <c r="CT270" s="2">
        <f>IF(ISNA(VLOOKUP($CZ270,'Audit Values'!$A$2:$AE$439,2,FALSE)),'Preliminary SO66'!W267,VLOOKUP($CZ270,'Audit Values'!$A$2:$AE$439,23,FALSE))</f>
        <v>0</v>
      </c>
      <c r="CU270" s="1">
        <f t="shared" si="349"/>
        <v>0</v>
      </c>
      <c r="CV270" s="1">
        <f t="shared" si="350"/>
        <v>0</v>
      </c>
      <c r="CW270" s="176">
        <v>0</v>
      </c>
      <c r="CX270" s="2">
        <f>IF(CW270&gt;0,Weightings!$M$11*AR270,0)</f>
        <v>0</v>
      </c>
      <c r="CY270" s="2">
        <f t="shared" si="347"/>
        <v>0</v>
      </c>
      <c r="CZ270" s="108" t="s">
        <v>562</v>
      </c>
    </row>
    <row r="271" spans="1:104">
      <c r="A271" s="82">
        <v>492</v>
      </c>
      <c r="B271" s="4" t="s">
        <v>12</v>
      </c>
      <c r="C271" s="4" t="s">
        <v>897</v>
      </c>
      <c r="D271" s="1">
        <v>256.8</v>
      </c>
      <c r="E271" s="1">
        <v>0</v>
      </c>
      <c r="F271" s="1">
        <f t="shared" si="294"/>
        <v>256.8</v>
      </c>
      <c r="G271" s="1">
        <v>255.3</v>
      </c>
      <c r="H271" s="1">
        <v>0</v>
      </c>
      <c r="I271" s="1">
        <f t="shared" si="314"/>
        <v>255.3</v>
      </c>
      <c r="J271" s="1">
        <f t="shared" si="316"/>
        <v>282.10000000000002</v>
      </c>
      <c r="K271" s="1">
        <f>IF(ISNA(VLOOKUP($CZ271,'Audit Values'!$A$2:$AE$439,2,FALSE)),'Preliminary SO66'!B268,VLOOKUP($CZ271,'Audit Values'!$A$2:$AE$439,31,FALSE))</f>
        <v>264.89999999999998</v>
      </c>
      <c r="L271" s="1">
        <f t="shared" si="317"/>
        <v>264.89999999999998</v>
      </c>
      <c r="M271" s="1">
        <f>IF(ISNA(VLOOKUP($CZ271,'Audit Values'!$A$2:$AE$439,2,FALSE)),'Preliminary SO66'!Z268,VLOOKUP($CZ271,'Audit Values'!$A$2:$AE$439,26,FALSE))</f>
        <v>0</v>
      </c>
      <c r="N271" s="1">
        <f t="shared" si="318"/>
        <v>264.89999999999998</v>
      </c>
      <c r="O271" s="1">
        <f>IF(ISNA(VLOOKUP($CZ271,'Audit Values'!$A$2:$AE$439,2,FALSE)),'Preliminary SO66'!C268,IF(VLOOKUP($CZ271,'Audit Values'!$A$2:$AE$439,28,FALSE)="",VLOOKUP($CZ271,'Audit Values'!$A$2:$AE$439,3,FALSE),VLOOKUP($CZ271,'Audit Values'!$A$2:$AE$439,28,FALSE)))</f>
        <v>0</v>
      </c>
      <c r="P271" s="109">
        <f t="shared" si="319"/>
        <v>264.89999999999998</v>
      </c>
      <c r="Q271" s="110">
        <f t="shared" si="320"/>
        <v>282.10000000000002</v>
      </c>
      <c r="R271" s="111">
        <f t="shared" si="321"/>
        <v>282.10000000000002</v>
      </c>
      <c r="S271" s="1">
        <f t="shared" si="322"/>
        <v>264.89999999999998</v>
      </c>
      <c r="T271" s="1">
        <f t="shared" si="348"/>
        <v>17.2</v>
      </c>
      <c r="U271" s="1">
        <f t="shared" si="323"/>
        <v>152.9</v>
      </c>
      <c r="V271" s="1">
        <f t="shared" si="308"/>
        <v>152.9</v>
      </c>
      <c r="W271" s="1">
        <f t="shared" si="309"/>
        <v>0</v>
      </c>
      <c r="X271" s="1">
        <f>IF(ISNA(VLOOKUP($CZ271,'Audit Values'!$A$2:$AE$439,2,FALSE)),'Preliminary SO66'!D268,VLOOKUP($CZ271,'Audit Values'!$A$2:$AE$439,4,FALSE))</f>
        <v>105</v>
      </c>
      <c r="Y271" s="1">
        <f>ROUND((X271/6)*Weightings!$M$6,1)</f>
        <v>8.8000000000000007</v>
      </c>
      <c r="Z271" s="1">
        <f>IF(ISNA(VLOOKUP($CZ271,'Audit Values'!$A$2:$AE$439,2,FALSE)),'Preliminary SO66'!F268,VLOOKUP($CZ271,'Audit Values'!$A$2:$AE$439,6,FALSE))</f>
        <v>0.6</v>
      </c>
      <c r="AA271" s="1">
        <f>ROUND((Z271/6)*Weightings!$M$7,1)</f>
        <v>0</v>
      </c>
      <c r="AB271" s="2">
        <f>IF(ISNA(VLOOKUP($CZ271,'Audit Values'!$A$2:$AE$439,2,FALSE)),'Preliminary SO66'!H268,VLOOKUP($CZ271,'Audit Values'!$A$2:$AE$439,8,FALSE))</f>
        <v>91</v>
      </c>
      <c r="AC271" s="1">
        <f>ROUND(AB271*Weightings!$M$8,1)</f>
        <v>41.5</v>
      </c>
      <c r="AD271" s="1">
        <f t="shared" si="304"/>
        <v>0</v>
      </c>
      <c r="AE271" s="185">
        <v>13</v>
      </c>
      <c r="AF271" s="1">
        <f>AE271*Weightings!$M$9</f>
        <v>0.6</v>
      </c>
      <c r="AG271" s="1">
        <f>IF(ISNA(VLOOKUP($CZ271,'Audit Values'!$A$2:$AE$439,2,FALSE)),'Preliminary SO66'!L268,VLOOKUP($CZ271,'Audit Values'!$A$2:$AE$439,12,FALSE))</f>
        <v>0</v>
      </c>
      <c r="AH271" s="1">
        <f>ROUND(AG271*Weightings!$M$10,1)</f>
        <v>0</v>
      </c>
      <c r="AI271" s="1">
        <f>IF(ISNA(VLOOKUP($CZ271,'Audit Values'!$A$2:$AE$439,2,FALSE)),'Preliminary SO66'!O268,VLOOKUP($CZ271,'Audit Values'!$A$2:$AE$439,15,FALSE))</f>
        <v>153</v>
      </c>
      <c r="AJ271" s="1">
        <f t="shared" si="324"/>
        <v>49.5</v>
      </c>
      <c r="AK271" s="1">
        <f>CC271/Weightings!$M$5</f>
        <v>0</v>
      </c>
      <c r="AL271" s="1">
        <f>CD271/Weightings!$M$5</f>
        <v>0</v>
      </c>
      <c r="AM271" s="1">
        <f>CH271/Weightings!$M$5</f>
        <v>0</v>
      </c>
      <c r="AN271" s="1">
        <f t="shared" si="310"/>
        <v>18.100000000000001</v>
      </c>
      <c r="AO271" s="1">
        <f>IF(ISNA(VLOOKUP($CZ271,'Audit Values'!$A$2:$AE$439,2,FALSE)),'Preliminary SO66'!X268,VLOOKUP($CZ271,'Audit Values'!$A$2:$AE$439,24,FALSE))</f>
        <v>0</v>
      </c>
      <c r="AP271" s="188">
        <v>347583</v>
      </c>
      <c r="AQ271" s="113">
        <f>AP271/Weightings!$M$5</f>
        <v>90.6</v>
      </c>
      <c r="AR271" s="113">
        <f t="shared" si="325"/>
        <v>536.29999999999995</v>
      </c>
      <c r="AS271" s="1">
        <f t="shared" si="326"/>
        <v>626.9</v>
      </c>
      <c r="AT271" s="1">
        <f t="shared" si="327"/>
        <v>626.9</v>
      </c>
      <c r="AU271" s="2">
        <f t="shared" si="341"/>
        <v>0</v>
      </c>
      <c r="AV271" s="82">
        <f>IF(ISNA(VLOOKUP($CZ271,'Audit Values'!$A$2:$AC$360,2,FALSE)),"",IF(AND(Weightings!H271&gt;0,VLOOKUP($CZ271,'Audit Values'!$A$2:$AC$360,29,FALSE)&lt;Weightings!H271),Weightings!H271,VLOOKUP($CZ271,'Audit Values'!$A$2:$AC$360,29,FALSE)))</f>
        <v>15</v>
      </c>
      <c r="AW271" s="82" t="str">
        <f>IF(ISNA(VLOOKUP($CZ271,'Audit Values'!$A$2:$AD$360,2,FALSE)),"",VLOOKUP($CZ271,'Audit Values'!$A$2:$AD$360,30,FALSE))</f>
        <v>A</v>
      </c>
      <c r="AX271" s="82" t="str">
        <f>IF(Weightings!G271="","",IF(Weightings!I271="Pending","PX","R"))</f>
        <v/>
      </c>
      <c r="AY271" s="114">
        <f>AR271*Weightings!$M$5+AU271</f>
        <v>2058319</v>
      </c>
      <c r="AZ271" s="2">
        <f>AT271*Weightings!$M$5+AU271</f>
        <v>2406042</v>
      </c>
      <c r="BA271" s="2">
        <f>IF(Weightings!G271&gt;0,Weightings!G271,'Preliminary SO66'!AB268)</f>
        <v>2462077</v>
      </c>
      <c r="BB271" s="2">
        <f t="shared" si="328"/>
        <v>2406042</v>
      </c>
      <c r="BC271" s="124"/>
      <c r="BD271" s="124">
        <f>Weightings!E271</f>
        <v>0</v>
      </c>
      <c r="BE271" s="124">
        <f>Weightings!F271</f>
        <v>0</v>
      </c>
      <c r="BF271" s="2">
        <f t="shared" si="329"/>
        <v>0</v>
      </c>
      <c r="BG271" s="2">
        <f t="shared" si="330"/>
        <v>2406042</v>
      </c>
      <c r="BH271" s="2">
        <f>MAX(ROUND(((AR271-AO271)*4433)+AP271,0),ROUND(((AR271-AO271)*4433)+Weightings!B271,0))</f>
        <v>2725001</v>
      </c>
      <c r="BI271" s="174">
        <v>0.3</v>
      </c>
      <c r="BJ271" s="2">
        <f t="shared" si="298"/>
        <v>817500</v>
      </c>
      <c r="BK271" s="173">
        <v>825000</v>
      </c>
      <c r="BL271" s="2">
        <f t="shared" si="303"/>
        <v>817500</v>
      </c>
      <c r="BM271" s="3">
        <f t="shared" si="315"/>
        <v>0.3</v>
      </c>
      <c r="BN271" s="1">
        <f t="shared" si="331"/>
        <v>0</v>
      </c>
      <c r="BO271" s="4" t="b">
        <f t="shared" si="332"/>
        <v>1</v>
      </c>
      <c r="BP271" s="5">
        <f t="shared" si="333"/>
        <v>1592.11</v>
      </c>
      <c r="BQ271" s="6">
        <f t="shared" si="306"/>
        <v>0.57722700000000005</v>
      </c>
      <c r="BR271" s="4">
        <f t="shared" si="334"/>
        <v>152.9</v>
      </c>
      <c r="BS271" s="4" t="b">
        <f t="shared" si="335"/>
        <v>0</v>
      </c>
      <c r="BT271" s="4">
        <f t="shared" si="336"/>
        <v>0</v>
      </c>
      <c r="BU271" s="6">
        <f t="shared" si="307"/>
        <v>0</v>
      </c>
      <c r="BV271" s="1">
        <f t="shared" si="337"/>
        <v>0</v>
      </c>
      <c r="BW271" s="1">
        <f t="shared" si="338"/>
        <v>0</v>
      </c>
      <c r="BX271" s="116">
        <v>389</v>
      </c>
      <c r="BY271" s="7">
        <f t="shared" si="342"/>
        <v>0.39</v>
      </c>
      <c r="BZ271" s="7">
        <f>IF(ROUND((Weightings!$P$5*BY271^Weightings!$P$6*Weightings!$P$8 ),2)&lt;Weightings!$P$7,Weightings!$P$7,ROUND((Weightings!$P$5*BY271^Weightings!$P$6*Weightings!$P$8 ),2))</f>
        <v>1242.3699999999999</v>
      </c>
      <c r="CA271" s="8">
        <f>ROUND(BZ271/Weightings!$M$5,4)</f>
        <v>0.32369999999999999</v>
      </c>
      <c r="CB271" s="1">
        <f t="shared" si="343"/>
        <v>49.5</v>
      </c>
      <c r="CC271" s="173">
        <v>0</v>
      </c>
      <c r="CD271" s="173">
        <v>0</v>
      </c>
      <c r="CE271" s="173">
        <v>0</v>
      </c>
      <c r="CF271" s="177">
        <v>0</v>
      </c>
      <c r="CG271" s="2">
        <f>AS271*Weightings!$M$5*CF271</f>
        <v>0</v>
      </c>
      <c r="CH271" s="2">
        <f t="shared" si="305"/>
        <v>0</v>
      </c>
      <c r="CI271" s="117">
        <f t="shared" si="339"/>
        <v>0.34399999999999997</v>
      </c>
      <c r="CJ271" s="4">
        <f t="shared" si="340"/>
        <v>0.7</v>
      </c>
      <c r="CK271" s="1">
        <f t="shared" si="344"/>
        <v>0</v>
      </c>
      <c r="CL271" s="1">
        <f t="shared" si="345"/>
        <v>0</v>
      </c>
      <c r="CM271" s="1">
        <f t="shared" si="346"/>
        <v>0</v>
      </c>
      <c r="CN271" s="1">
        <f>IF(ISNA(VLOOKUP($CZ271,'Audit Values'!$A$2:$AE$439,2,FALSE)),'Preliminary SO66'!T268,VLOOKUP($CZ271,'Audit Values'!$A$2:$AE$439,20,FALSE))</f>
        <v>17.2</v>
      </c>
      <c r="CO271" s="1">
        <f t="shared" si="311"/>
        <v>18.100000000000001</v>
      </c>
      <c r="CP271" s="183">
        <v>0</v>
      </c>
      <c r="CQ271" s="1">
        <f t="shared" si="312"/>
        <v>0</v>
      </c>
      <c r="CR271" s="2">
        <f>IF(ISNA(VLOOKUP($CZ271,'Audit Values'!$A$2:$AE$439,2,FALSE)),'Preliminary SO66'!V268,VLOOKUP($CZ271,'Audit Values'!$A$2:$AE$439,22,FALSE))</f>
        <v>0</v>
      </c>
      <c r="CS271" s="1">
        <f t="shared" si="313"/>
        <v>0</v>
      </c>
      <c r="CT271" s="2">
        <f>IF(ISNA(VLOOKUP($CZ271,'Audit Values'!$A$2:$AE$439,2,FALSE)),'Preliminary SO66'!W268,VLOOKUP($CZ271,'Audit Values'!$A$2:$AE$439,23,FALSE))</f>
        <v>0</v>
      </c>
      <c r="CU271" s="1">
        <f t="shared" si="349"/>
        <v>0</v>
      </c>
      <c r="CV271" s="1">
        <f t="shared" si="350"/>
        <v>18.100000000000001</v>
      </c>
      <c r="CW271" s="176">
        <v>0</v>
      </c>
      <c r="CX271" s="2">
        <f>IF(CW271&gt;0,Weightings!$M$11*AR271,0)</f>
        <v>0</v>
      </c>
      <c r="CY271" s="2">
        <f t="shared" si="347"/>
        <v>0</v>
      </c>
      <c r="CZ271" s="108" t="s">
        <v>563</v>
      </c>
    </row>
    <row r="272" spans="1:104">
      <c r="A272" s="82">
        <v>493</v>
      </c>
      <c r="B272" s="4" t="s">
        <v>31</v>
      </c>
      <c r="C272" s="4" t="s">
        <v>898</v>
      </c>
      <c r="D272" s="1">
        <v>997.5</v>
      </c>
      <c r="E272" s="1">
        <v>0</v>
      </c>
      <c r="F272" s="1">
        <f t="shared" ref="F272:F285" si="351">D272+E272</f>
        <v>997.5</v>
      </c>
      <c r="G272" s="1">
        <v>994.5</v>
      </c>
      <c r="H272" s="1">
        <v>0</v>
      </c>
      <c r="I272" s="1">
        <f t="shared" si="314"/>
        <v>994.5</v>
      </c>
      <c r="J272" s="1">
        <f t="shared" si="316"/>
        <v>972.5</v>
      </c>
      <c r="K272" s="1">
        <f>IF(ISNA(VLOOKUP($CZ272,'Audit Values'!$A$2:$AE$439,2,FALSE)),'Preliminary SO66'!B269,VLOOKUP($CZ272,'Audit Values'!$A$2:$AE$439,31,FALSE))</f>
        <v>972.5</v>
      </c>
      <c r="L272" s="1">
        <f t="shared" si="317"/>
        <v>994.5</v>
      </c>
      <c r="M272" s="1">
        <f>IF(ISNA(VLOOKUP($CZ272,'Audit Values'!$A$2:$AE$439,2,FALSE)),'Preliminary SO66'!Z269,VLOOKUP($CZ272,'Audit Values'!$A$2:$AE$439,26,FALSE))</f>
        <v>0</v>
      </c>
      <c r="N272" s="1">
        <f t="shared" si="318"/>
        <v>994.5</v>
      </c>
      <c r="O272" s="1">
        <f>IF(ISNA(VLOOKUP($CZ272,'Audit Values'!$A$2:$AE$439,2,FALSE)),'Preliminary SO66'!C269,IF(VLOOKUP($CZ272,'Audit Values'!$A$2:$AE$439,28,FALSE)="",VLOOKUP($CZ272,'Audit Values'!$A$2:$AE$439,3,FALSE),VLOOKUP($CZ272,'Audit Values'!$A$2:$AE$439,28,FALSE)))</f>
        <v>15</v>
      </c>
      <c r="P272" s="109">
        <f t="shared" si="319"/>
        <v>987.5</v>
      </c>
      <c r="Q272" s="110">
        <f t="shared" si="320"/>
        <v>987.5</v>
      </c>
      <c r="R272" s="111">
        <f t="shared" si="321"/>
        <v>987.5</v>
      </c>
      <c r="S272" s="1">
        <f t="shared" si="322"/>
        <v>1009.5</v>
      </c>
      <c r="T272" s="1">
        <f t="shared" si="348"/>
        <v>0</v>
      </c>
      <c r="U272" s="1">
        <f t="shared" si="323"/>
        <v>245.4</v>
      </c>
      <c r="V272" s="1">
        <f t="shared" si="308"/>
        <v>245.4</v>
      </c>
      <c r="W272" s="1">
        <f t="shared" si="309"/>
        <v>0</v>
      </c>
      <c r="X272" s="1">
        <f>IF(ISNA(VLOOKUP($CZ272,'Audit Values'!$A$2:$AE$439,2,FALSE)),'Preliminary SO66'!D269,VLOOKUP($CZ272,'Audit Values'!$A$2:$AE$439,4,FALSE))</f>
        <v>254.4</v>
      </c>
      <c r="Y272" s="1">
        <f>ROUND((X272/6)*Weightings!$M$6,1)</f>
        <v>21.2</v>
      </c>
      <c r="Z272" s="1">
        <f>IF(ISNA(VLOOKUP($CZ272,'Audit Values'!$A$2:$AE$439,2,FALSE)),'Preliminary SO66'!F269,VLOOKUP($CZ272,'Audit Values'!$A$2:$AE$439,6,FALSE))</f>
        <v>0.4</v>
      </c>
      <c r="AA272" s="1">
        <f>ROUND((Z272/6)*Weightings!$M$7,1)</f>
        <v>0</v>
      </c>
      <c r="AB272" s="2">
        <f>IF(ISNA(VLOOKUP($CZ272,'Audit Values'!$A$2:$AE$439,2,FALSE)),'Preliminary SO66'!H269,VLOOKUP($CZ272,'Audit Values'!$A$2:$AE$439,8,FALSE))</f>
        <v>472</v>
      </c>
      <c r="AC272" s="1">
        <f>ROUND(AB272*Weightings!$M$8,1)</f>
        <v>215.2</v>
      </c>
      <c r="AD272" s="1">
        <f t="shared" si="304"/>
        <v>39</v>
      </c>
      <c r="AE272" s="185">
        <v>84</v>
      </c>
      <c r="AF272" s="1">
        <f>AE272*Weightings!$M$9</f>
        <v>3.9</v>
      </c>
      <c r="AG272" s="1">
        <f>IF(ISNA(VLOOKUP($CZ272,'Audit Values'!$A$2:$AE$439,2,FALSE)),'Preliminary SO66'!L269,VLOOKUP($CZ272,'Audit Values'!$A$2:$AE$439,12,FALSE))</f>
        <v>0</v>
      </c>
      <c r="AH272" s="1">
        <f>ROUND(AG272*Weightings!$M$10,1)</f>
        <v>0</v>
      </c>
      <c r="AI272" s="1">
        <f>IF(ISNA(VLOOKUP($CZ272,'Audit Values'!$A$2:$AE$439,2,FALSE)),'Preliminary SO66'!O269,VLOOKUP($CZ272,'Audit Values'!$A$2:$AE$439,15,FALSE))</f>
        <v>366</v>
      </c>
      <c r="AJ272" s="1">
        <f t="shared" si="324"/>
        <v>94.9</v>
      </c>
      <c r="AK272" s="1">
        <f>CC272/Weightings!$M$5</f>
        <v>0</v>
      </c>
      <c r="AL272" s="1">
        <f>CD272/Weightings!$M$5</f>
        <v>0</v>
      </c>
      <c r="AM272" s="1">
        <f>CH272/Weightings!$M$5</f>
        <v>0</v>
      </c>
      <c r="AN272" s="1">
        <f t="shared" si="310"/>
        <v>0</v>
      </c>
      <c r="AO272" s="1">
        <f>IF(ISNA(VLOOKUP($CZ272,'Audit Values'!$A$2:$AE$439,2,FALSE)),'Preliminary SO66'!X269,VLOOKUP($CZ272,'Audit Values'!$A$2:$AE$439,24,FALSE))</f>
        <v>0</v>
      </c>
      <c r="AP272" s="188">
        <v>1000887.9999999999</v>
      </c>
      <c r="AQ272" s="113">
        <f>AP272/Weightings!$M$5</f>
        <v>260.8</v>
      </c>
      <c r="AR272" s="113">
        <f t="shared" si="325"/>
        <v>1629.1</v>
      </c>
      <c r="AS272" s="1">
        <f t="shared" si="326"/>
        <v>1889.9</v>
      </c>
      <c r="AT272" s="1">
        <f t="shared" si="327"/>
        <v>1889.9</v>
      </c>
      <c r="AU272" s="2">
        <f t="shared" si="341"/>
        <v>0</v>
      </c>
      <c r="AV272" s="82">
        <f>IF(ISNA(VLOOKUP($CZ272,'Audit Values'!$A$2:$AC$360,2,FALSE)),"",IF(AND(Weightings!H272&gt;0,VLOOKUP($CZ272,'Audit Values'!$A$2:$AC$360,29,FALSE)&lt;Weightings!H272),Weightings!H272,VLOOKUP($CZ272,'Audit Values'!$A$2:$AC$360,29,FALSE)))</f>
        <v>1</v>
      </c>
      <c r="AW272" s="82" t="str">
        <f>IF(ISNA(VLOOKUP($CZ272,'Audit Values'!$A$2:$AD$360,2,FALSE)),"",VLOOKUP($CZ272,'Audit Values'!$A$2:$AD$360,30,FALSE))</f>
        <v>A</v>
      </c>
      <c r="AX272" s="82" t="str">
        <f>IF(Weightings!G272="","",IF(Weightings!I272="Pending","PX","R"))</f>
        <v/>
      </c>
      <c r="AY272" s="114">
        <f>AR272*Weightings!$M$5+AU272</f>
        <v>6252486</v>
      </c>
      <c r="AZ272" s="2">
        <f>AT272*Weightings!$M$5+AU272</f>
        <v>7253436</v>
      </c>
      <c r="BA272" s="2">
        <f>IF(Weightings!G272&gt;0,Weightings!G272,'Preliminary SO66'!AB269)</f>
        <v>7503674</v>
      </c>
      <c r="BB272" s="2">
        <f t="shared" si="328"/>
        <v>7253436</v>
      </c>
      <c r="BC272" s="124"/>
      <c r="BD272" s="124">
        <f>Weightings!E272</f>
        <v>-1986</v>
      </c>
      <c r="BE272" s="124">
        <f>Weightings!F272</f>
        <v>0</v>
      </c>
      <c r="BF272" s="2">
        <f t="shared" si="329"/>
        <v>-1986</v>
      </c>
      <c r="BG272" s="2">
        <f t="shared" si="330"/>
        <v>7251450</v>
      </c>
      <c r="BH272" s="2">
        <f>MAX(ROUND(((AR272-AO272)*4433)+AP272,0),ROUND(((AR272-AO272)*4433)+Weightings!B272,0))</f>
        <v>8268975</v>
      </c>
      <c r="BI272" s="174">
        <v>0.3</v>
      </c>
      <c r="BJ272" s="2">
        <f t="shared" si="298"/>
        <v>2480693</v>
      </c>
      <c r="BK272" s="173">
        <v>2551184</v>
      </c>
      <c r="BL272" s="2">
        <f t="shared" si="303"/>
        <v>2480693</v>
      </c>
      <c r="BM272" s="3">
        <f t="shared" si="315"/>
        <v>0.3</v>
      </c>
      <c r="BN272" s="1">
        <f t="shared" si="331"/>
        <v>0</v>
      </c>
      <c r="BO272" s="4" t="b">
        <f t="shared" si="332"/>
        <v>0</v>
      </c>
      <c r="BP272" s="5">
        <f t="shared" si="333"/>
        <v>0</v>
      </c>
      <c r="BQ272" s="6">
        <f t="shared" si="306"/>
        <v>0</v>
      </c>
      <c r="BR272" s="4">
        <f t="shared" si="334"/>
        <v>0</v>
      </c>
      <c r="BS272" s="4" t="b">
        <f t="shared" si="335"/>
        <v>1</v>
      </c>
      <c r="BT272" s="4">
        <f t="shared" si="336"/>
        <v>878.00630000000001</v>
      </c>
      <c r="BU272" s="6">
        <f t="shared" si="307"/>
        <v>0.24313499999999999</v>
      </c>
      <c r="BV272" s="1">
        <f t="shared" si="337"/>
        <v>245.4</v>
      </c>
      <c r="BW272" s="1">
        <f t="shared" si="338"/>
        <v>0</v>
      </c>
      <c r="BX272" s="116">
        <v>354</v>
      </c>
      <c r="BY272" s="7">
        <f t="shared" si="342"/>
        <v>1.03</v>
      </c>
      <c r="BZ272" s="7">
        <f>IF(ROUND((Weightings!$P$5*BY272^Weightings!$P$6*Weightings!$P$8 ),2)&lt;Weightings!$P$7,Weightings!$P$7,ROUND((Weightings!$P$5*BY272^Weightings!$P$6*Weightings!$P$8 ),2))</f>
        <v>995.51</v>
      </c>
      <c r="CA272" s="8">
        <f>ROUND(BZ272/Weightings!$M$5,4)</f>
        <v>0.25940000000000002</v>
      </c>
      <c r="CB272" s="1">
        <f t="shared" si="343"/>
        <v>94.9</v>
      </c>
      <c r="CC272" s="173">
        <v>0</v>
      </c>
      <c r="CD272" s="173">
        <v>0</v>
      </c>
      <c r="CE272" s="173">
        <v>0</v>
      </c>
      <c r="CF272" s="177">
        <v>0</v>
      </c>
      <c r="CG272" s="2">
        <f>AS272*Weightings!$M$5*CF272</f>
        <v>0</v>
      </c>
      <c r="CH272" s="2">
        <f t="shared" si="305"/>
        <v>0</v>
      </c>
      <c r="CI272" s="117">
        <f t="shared" si="339"/>
        <v>0.46800000000000003</v>
      </c>
      <c r="CJ272" s="4">
        <f t="shared" si="340"/>
        <v>2.9</v>
      </c>
      <c r="CK272" s="1">
        <f t="shared" si="344"/>
        <v>0</v>
      </c>
      <c r="CL272" s="1">
        <f t="shared" si="345"/>
        <v>0</v>
      </c>
      <c r="CM272" s="1">
        <f t="shared" si="346"/>
        <v>39</v>
      </c>
      <c r="CN272" s="1">
        <f>IF(ISNA(VLOOKUP($CZ272,'Audit Values'!$A$2:$AE$439,2,FALSE)),'Preliminary SO66'!T269,VLOOKUP($CZ272,'Audit Values'!$A$2:$AE$439,20,FALSE))</f>
        <v>0</v>
      </c>
      <c r="CO272" s="1">
        <f t="shared" si="311"/>
        <v>0</v>
      </c>
      <c r="CP272" s="183">
        <v>0</v>
      </c>
      <c r="CQ272" s="1">
        <f t="shared" si="312"/>
        <v>0</v>
      </c>
      <c r="CR272" s="2">
        <f>IF(ISNA(VLOOKUP($CZ272,'Audit Values'!$A$2:$AE$439,2,FALSE)),'Preliminary SO66'!V269,VLOOKUP($CZ272,'Audit Values'!$A$2:$AE$439,22,FALSE))</f>
        <v>0</v>
      </c>
      <c r="CS272" s="1">
        <f t="shared" si="313"/>
        <v>0</v>
      </c>
      <c r="CT272" s="2">
        <f>IF(ISNA(VLOOKUP($CZ272,'Audit Values'!$A$2:$AE$439,2,FALSE)),'Preliminary SO66'!W269,VLOOKUP($CZ272,'Audit Values'!$A$2:$AE$439,23,FALSE))</f>
        <v>0</v>
      </c>
      <c r="CU272" s="1">
        <f t="shared" si="349"/>
        <v>0</v>
      </c>
      <c r="CV272" s="1">
        <f t="shared" si="350"/>
        <v>0</v>
      </c>
      <c r="CW272" s="176">
        <v>0</v>
      </c>
      <c r="CX272" s="2">
        <f>IF(CW272&gt;0,Weightings!$M$11*AR272,0)</f>
        <v>0</v>
      </c>
      <c r="CY272" s="2">
        <f t="shared" si="347"/>
        <v>0</v>
      </c>
      <c r="CZ272" s="108" t="s">
        <v>564</v>
      </c>
    </row>
    <row r="273" spans="1:104">
      <c r="A273" s="82">
        <v>494</v>
      </c>
      <c r="B273" s="4" t="s">
        <v>87</v>
      </c>
      <c r="C273" s="4" t="s">
        <v>899</v>
      </c>
      <c r="D273" s="1">
        <v>442.5</v>
      </c>
      <c r="E273" s="1">
        <v>0</v>
      </c>
      <c r="F273" s="1">
        <f t="shared" si="351"/>
        <v>442.5</v>
      </c>
      <c r="G273" s="1">
        <v>452</v>
      </c>
      <c r="H273" s="1">
        <v>0</v>
      </c>
      <c r="I273" s="1">
        <f t="shared" si="314"/>
        <v>452</v>
      </c>
      <c r="J273" s="1">
        <f t="shared" si="316"/>
        <v>470</v>
      </c>
      <c r="K273" s="1">
        <f>IF(ISNA(VLOOKUP($CZ273,'Audit Values'!$A$2:$AE$439,2,FALSE)),'Preliminary SO66'!B270,VLOOKUP($CZ273,'Audit Values'!$A$2:$AE$439,31,FALSE))</f>
        <v>470</v>
      </c>
      <c r="L273" s="1">
        <f t="shared" si="317"/>
        <v>470</v>
      </c>
      <c r="M273" s="1">
        <f>IF(ISNA(VLOOKUP($CZ273,'Audit Values'!$A$2:$AE$439,2,FALSE)),'Preliminary SO66'!Z270,VLOOKUP($CZ273,'Audit Values'!$A$2:$AE$439,26,FALSE))</f>
        <v>0</v>
      </c>
      <c r="N273" s="1">
        <f t="shared" si="318"/>
        <v>470</v>
      </c>
      <c r="O273" s="1">
        <f>IF(ISNA(VLOOKUP($CZ273,'Audit Values'!$A$2:$AE$439,2,FALSE)),'Preliminary SO66'!C270,IF(VLOOKUP($CZ273,'Audit Values'!$A$2:$AE$439,28,FALSE)="",VLOOKUP($CZ273,'Audit Values'!$A$2:$AE$439,3,FALSE),VLOOKUP($CZ273,'Audit Values'!$A$2:$AE$439,28,FALSE)))</f>
        <v>10</v>
      </c>
      <c r="P273" s="109">
        <f t="shared" si="319"/>
        <v>480</v>
      </c>
      <c r="Q273" s="110">
        <f t="shared" si="320"/>
        <v>480</v>
      </c>
      <c r="R273" s="111">
        <f t="shared" si="321"/>
        <v>480</v>
      </c>
      <c r="S273" s="1">
        <f t="shared" si="322"/>
        <v>480</v>
      </c>
      <c r="T273" s="1">
        <f t="shared" si="348"/>
        <v>0</v>
      </c>
      <c r="U273" s="1">
        <f t="shared" si="323"/>
        <v>203.1</v>
      </c>
      <c r="V273" s="1">
        <f t="shared" si="308"/>
        <v>203.1</v>
      </c>
      <c r="W273" s="1">
        <f t="shared" si="309"/>
        <v>0</v>
      </c>
      <c r="X273" s="1">
        <f>IF(ISNA(VLOOKUP($CZ273,'Audit Values'!$A$2:$AE$439,2,FALSE)),'Preliminary SO66'!D270,VLOOKUP($CZ273,'Audit Values'!$A$2:$AE$439,4,FALSE))</f>
        <v>63.3</v>
      </c>
      <c r="Y273" s="1">
        <f>ROUND((X273/6)*Weightings!$M$6,1)</f>
        <v>5.3</v>
      </c>
      <c r="Z273" s="1">
        <f>IF(ISNA(VLOOKUP($CZ273,'Audit Values'!$A$2:$AE$439,2,FALSE)),'Preliminary SO66'!F270,VLOOKUP($CZ273,'Audit Values'!$A$2:$AE$439,6,FALSE))</f>
        <v>1057.8</v>
      </c>
      <c r="AA273" s="1">
        <f>ROUND((Z273/6)*Weightings!$M$7,1)</f>
        <v>69.599999999999994</v>
      </c>
      <c r="AB273" s="2">
        <f>IF(ISNA(VLOOKUP($CZ273,'Audit Values'!$A$2:$AE$439,2,FALSE)),'Preliminary SO66'!H270,VLOOKUP($CZ273,'Audit Values'!$A$2:$AE$439,8,FALSE))</f>
        <v>263</v>
      </c>
      <c r="AC273" s="1">
        <f>ROUND(AB273*Weightings!$M$8,1)</f>
        <v>119.9</v>
      </c>
      <c r="AD273" s="1">
        <f t="shared" si="304"/>
        <v>27.6</v>
      </c>
      <c r="AE273" s="185">
        <v>35</v>
      </c>
      <c r="AF273" s="1">
        <f>AE273*Weightings!$M$9</f>
        <v>1.6</v>
      </c>
      <c r="AG273" s="1">
        <f>IF(ISNA(VLOOKUP($CZ273,'Audit Values'!$A$2:$AE$439,2,FALSE)),'Preliminary SO66'!L270,VLOOKUP($CZ273,'Audit Values'!$A$2:$AE$439,12,FALSE))</f>
        <v>0</v>
      </c>
      <c r="AH273" s="1">
        <f>ROUND(AG273*Weightings!$M$10,1)</f>
        <v>0</v>
      </c>
      <c r="AI273" s="1">
        <f>IF(ISNA(VLOOKUP($CZ273,'Audit Values'!$A$2:$AE$439,2,FALSE)),'Preliminary SO66'!O270,VLOOKUP($CZ273,'Audit Values'!$A$2:$AE$439,15,FALSE))</f>
        <v>79</v>
      </c>
      <c r="AJ273" s="1">
        <f t="shared" si="324"/>
        <v>36.700000000000003</v>
      </c>
      <c r="AK273" s="1">
        <f>CC273/Weightings!$M$5</f>
        <v>0</v>
      </c>
      <c r="AL273" s="1">
        <f>CD273/Weightings!$M$5</f>
        <v>0</v>
      </c>
      <c r="AM273" s="1">
        <f>CH273/Weightings!$M$5</f>
        <v>0</v>
      </c>
      <c r="AN273" s="1">
        <f t="shared" si="310"/>
        <v>0</v>
      </c>
      <c r="AO273" s="1">
        <f>IF(ISNA(VLOOKUP($CZ273,'Audit Values'!$A$2:$AE$439,2,FALSE)),'Preliminary SO66'!X270,VLOOKUP($CZ273,'Audit Values'!$A$2:$AE$439,24,FALSE))</f>
        <v>0</v>
      </c>
      <c r="AP273" s="188">
        <v>269664</v>
      </c>
      <c r="AQ273" s="113">
        <f>AP273/Weightings!$M$5</f>
        <v>70.3</v>
      </c>
      <c r="AR273" s="113">
        <f t="shared" si="325"/>
        <v>943.8</v>
      </c>
      <c r="AS273" s="1">
        <f t="shared" si="326"/>
        <v>1014.1</v>
      </c>
      <c r="AT273" s="1">
        <f t="shared" si="327"/>
        <v>1014.1</v>
      </c>
      <c r="AU273" s="2">
        <f t="shared" si="341"/>
        <v>0</v>
      </c>
      <c r="AV273" s="82">
        <f>IF(ISNA(VLOOKUP($CZ273,'Audit Values'!$A$2:$AC$360,2,FALSE)),"",IF(AND(Weightings!H273&gt;0,VLOOKUP($CZ273,'Audit Values'!$A$2:$AC$360,29,FALSE)&lt;Weightings!H273),Weightings!H273,VLOOKUP($CZ273,'Audit Values'!$A$2:$AC$360,29,FALSE)))</f>
        <v>3</v>
      </c>
      <c r="AW273" s="82" t="str">
        <f>IF(ISNA(VLOOKUP($CZ273,'Audit Values'!$A$2:$AD$360,2,FALSE)),"",VLOOKUP($CZ273,'Audit Values'!$A$2:$AD$360,30,FALSE))</f>
        <v>A</v>
      </c>
      <c r="AX273" s="82" t="str">
        <f>IF(Weightings!G273="","",IF(Weightings!I273="Pending","PX","R"))</f>
        <v/>
      </c>
      <c r="AY273" s="114">
        <f>AR273*Weightings!$M$5+AU273</f>
        <v>3622304</v>
      </c>
      <c r="AZ273" s="2">
        <f>AT273*Weightings!$M$5+AU273</f>
        <v>3892116</v>
      </c>
      <c r="BA273" s="2">
        <f>IF(Weightings!G273&gt;0,Weightings!G273,'Preliminary SO66'!AB270)</f>
        <v>3914760</v>
      </c>
      <c r="BB273" s="2">
        <f t="shared" si="328"/>
        <v>3892116</v>
      </c>
      <c r="BC273" s="124"/>
      <c r="BD273" s="124">
        <f>Weightings!E273</f>
        <v>0</v>
      </c>
      <c r="BE273" s="124">
        <f>Weightings!F273</f>
        <v>0</v>
      </c>
      <c r="BF273" s="2">
        <f t="shared" si="329"/>
        <v>0</v>
      </c>
      <c r="BG273" s="2">
        <f t="shared" si="330"/>
        <v>3892116</v>
      </c>
      <c r="BH273" s="2">
        <f>MAX(ROUND(((AR273-AO273)*4433)+AP273,0),ROUND(((AR273-AO273)*4433)+Weightings!B273,0))</f>
        <v>4481709</v>
      </c>
      <c r="BI273" s="174">
        <v>0.3</v>
      </c>
      <c r="BJ273" s="2">
        <f t="shared" si="298"/>
        <v>1344513</v>
      </c>
      <c r="BK273" s="173">
        <v>1295497</v>
      </c>
      <c r="BL273" s="2">
        <f t="shared" si="303"/>
        <v>1295497</v>
      </c>
      <c r="BM273" s="3">
        <f t="shared" si="315"/>
        <v>0.28910000000000002</v>
      </c>
      <c r="BN273" s="1">
        <f t="shared" si="331"/>
        <v>0</v>
      </c>
      <c r="BO273" s="4" t="b">
        <f t="shared" si="332"/>
        <v>0</v>
      </c>
      <c r="BP273" s="5">
        <f t="shared" si="333"/>
        <v>0</v>
      </c>
      <c r="BQ273" s="6">
        <f t="shared" si="306"/>
        <v>0</v>
      </c>
      <c r="BR273" s="4">
        <f t="shared" si="334"/>
        <v>0</v>
      </c>
      <c r="BS273" s="4" t="b">
        <f t="shared" si="335"/>
        <v>1</v>
      </c>
      <c r="BT273" s="4">
        <f t="shared" si="336"/>
        <v>222.75</v>
      </c>
      <c r="BU273" s="6">
        <f t="shared" si="307"/>
        <v>0.42303200000000002</v>
      </c>
      <c r="BV273" s="1">
        <f t="shared" si="337"/>
        <v>203.1</v>
      </c>
      <c r="BW273" s="1">
        <f t="shared" si="338"/>
        <v>0</v>
      </c>
      <c r="BX273" s="116">
        <v>992</v>
      </c>
      <c r="BY273" s="7">
        <f t="shared" si="342"/>
        <v>0.08</v>
      </c>
      <c r="BZ273" s="7">
        <f>IF(ROUND((Weightings!$P$5*BY273^Weightings!$P$6*Weightings!$P$8 ),2)&lt;Weightings!$P$7,Weightings!$P$7,ROUND((Weightings!$P$5*BY273^Weightings!$P$6*Weightings!$P$8 ),2))</f>
        <v>1783.12</v>
      </c>
      <c r="CA273" s="8">
        <f>ROUND(BZ273/Weightings!$M$5,4)</f>
        <v>0.46460000000000001</v>
      </c>
      <c r="CB273" s="1">
        <f t="shared" si="343"/>
        <v>36.700000000000003</v>
      </c>
      <c r="CC273" s="173">
        <v>0</v>
      </c>
      <c r="CD273" s="173">
        <v>0</v>
      </c>
      <c r="CE273" s="173">
        <v>0</v>
      </c>
      <c r="CF273" s="177">
        <v>0</v>
      </c>
      <c r="CG273" s="2">
        <f>AS273*Weightings!$M$5*CF273</f>
        <v>0</v>
      </c>
      <c r="CH273" s="2">
        <f t="shared" si="305"/>
        <v>0</v>
      </c>
      <c r="CI273" s="117">
        <f t="shared" si="339"/>
        <v>0.54800000000000004</v>
      </c>
      <c r="CJ273" s="4">
        <f t="shared" si="340"/>
        <v>0.5</v>
      </c>
      <c r="CK273" s="1">
        <f t="shared" si="344"/>
        <v>27.6</v>
      </c>
      <c r="CL273" s="1">
        <f t="shared" si="345"/>
        <v>0</v>
      </c>
      <c r="CM273" s="1">
        <f t="shared" si="346"/>
        <v>0</v>
      </c>
      <c r="CN273" s="1">
        <f>IF(ISNA(VLOOKUP($CZ273,'Audit Values'!$A$2:$AE$439,2,FALSE)),'Preliminary SO66'!T270,VLOOKUP($CZ273,'Audit Values'!$A$2:$AE$439,20,FALSE))</f>
        <v>0</v>
      </c>
      <c r="CO273" s="1">
        <f t="shared" si="311"/>
        <v>0</v>
      </c>
      <c r="CP273" s="183">
        <v>0</v>
      </c>
      <c r="CQ273" s="1">
        <f t="shared" si="312"/>
        <v>0</v>
      </c>
      <c r="CR273" s="2">
        <f>IF(ISNA(VLOOKUP($CZ273,'Audit Values'!$A$2:$AE$439,2,FALSE)),'Preliminary SO66'!V270,VLOOKUP($CZ273,'Audit Values'!$A$2:$AE$439,22,FALSE))</f>
        <v>0</v>
      </c>
      <c r="CS273" s="1">
        <f t="shared" si="313"/>
        <v>0</v>
      </c>
      <c r="CT273" s="2">
        <f>IF(ISNA(VLOOKUP($CZ273,'Audit Values'!$A$2:$AE$439,2,FALSE)),'Preliminary SO66'!W270,VLOOKUP($CZ273,'Audit Values'!$A$2:$AE$439,23,FALSE))</f>
        <v>0</v>
      </c>
      <c r="CU273" s="1">
        <f t="shared" si="349"/>
        <v>0</v>
      </c>
      <c r="CV273" s="1">
        <f t="shared" si="350"/>
        <v>0</v>
      </c>
      <c r="CW273" s="176">
        <v>0</v>
      </c>
      <c r="CX273" s="2">
        <f>IF(CW273&gt;0,Weightings!$M$11*AR273,0)</f>
        <v>0</v>
      </c>
      <c r="CY273" s="2">
        <f t="shared" si="347"/>
        <v>0</v>
      </c>
      <c r="CZ273" s="108" t="s">
        <v>565</v>
      </c>
    </row>
    <row r="274" spans="1:104">
      <c r="A274" s="82">
        <v>495</v>
      </c>
      <c r="B274" s="4" t="s">
        <v>109</v>
      </c>
      <c r="C274" s="4" t="s">
        <v>900</v>
      </c>
      <c r="D274" s="1">
        <v>902</v>
      </c>
      <c r="E274" s="1">
        <v>0</v>
      </c>
      <c r="F274" s="1">
        <f t="shared" si="351"/>
        <v>902</v>
      </c>
      <c r="G274" s="1">
        <v>881.8</v>
      </c>
      <c r="H274" s="1">
        <v>0</v>
      </c>
      <c r="I274" s="1">
        <f t="shared" si="314"/>
        <v>881.8</v>
      </c>
      <c r="J274" s="1">
        <f t="shared" si="316"/>
        <v>906.9</v>
      </c>
      <c r="K274" s="1">
        <f>IF(ISNA(VLOOKUP($CZ274,'Audit Values'!$A$2:$AE$439,2,FALSE)),'Preliminary SO66'!B271,VLOOKUP($CZ274,'Audit Values'!$A$2:$AE$439,31,FALSE))</f>
        <v>906.9</v>
      </c>
      <c r="L274" s="1">
        <f t="shared" si="317"/>
        <v>906.9</v>
      </c>
      <c r="M274" s="1">
        <f>IF(ISNA(VLOOKUP($CZ274,'Audit Values'!$A$2:$AE$439,2,FALSE)),'Preliminary SO66'!Z271,VLOOKUP($CZ274,'Audit Values'!$A$2:$AE$439,26,FALSE))</f>
        <v>0</v>
      </c>
      <c r="N274" s="1">
        <f t="shared" si="318"/>
        <v>906.9</v>
      </c>
      <c r="O274" s="1">
        <f>IF(ISNA(VLOOKUP($CZ274,'Audit Values'!$A$2:$AE$439,2,FALSE)),'Preliminary SO66'!C271,IF(VLOOKUP($CZ274,'Audit Values'!$A$2:$AE$439,28,FALSE)="",VLOOKUP($CZ274,'Audit Values'!$A$2:$AE$439,3,FALSE),VLOOKUP($CZ274,'Audit Values'!$A$2:$AE$439,28,FALSE)))</f>
        <v>14.5</v>
      </c>
      <c r="P274" s="109">
        <f t="shared" si="319"/>
        <v>921.4</v>
      </c>
      <c r="Q274" s="110">
        <f t="shared" si="320"/>
        <v>921.4</v>
      </c>
      <c r="R274" s="111">
        <f t="shared" si="321"/>
        <v>921.4</v>
      </c>
      <c r="S274" s="1">
        <f t="shared" si="322"/>
        <v>921.4</v>
      </c>
      <c r="T274" s="1">
        <f t="shared" si="348"/>
        <v>0</v>
      </c>
      <c r="U274" s="1">
        <f t="shared" si="323"/>
        <v>251.6</v>
      </c>
      <c r="V274" s="1">
        <f t="shared" si="308"/>
        <v>251.6</v>
      </c>
      <c r="W274" s="1">
        <f t="shared" si="309"/>
        <v>0</v>
      </c>
      <c r="X274" s="1">
        <f>IF(ISNA(VLOOKUP($CZ274,'Audit Values'!$A$2:$AE$439,2,FALSE)),'Preliminary SO66'!D271,VLOOKUP($CZ274,'Audit Values'!$A$2:$AE$439,4,FALSE))</f>
        <v>356.8</v>
      </c>
      <c r="Y274" s="1">
        <f>ROUND((X274/6)*Weightings!$M$6,1)</f>
        <v>29.7</v>
      </c>
      <c r="Z274" s="1">
        <f>IF(ISNA(VLOOKUP($CZ274,'Audit Values'!$A$2:$AE$439,2,FALSE)),'Preliminary SO66'!F271,VLOOKUP($CZ274,'Audit Values'!$A$2:$AE$439,6,FALSE))</f>
        <v>14.1</v>
      </c>
      <c r="AA274" s="1">
        <f>ROUND((Z274/6)*Weightings!$M$7,1)</f>
        <v>0.9</v>
      </c>
      <c r="AB274" s="2">
        <f>IF(ISNA(VLOOKUP($CZ274,'Audit Values'!$A$2:$AE$439,2,FALSE)),'Preliminary SO66'!H271,VLOOKUP($CZ274,'Audit Values'!$A$2:$AE$439,8,FALSE))</f>
        <v>415</v>
      </c>
      <c r="AC274" s="1">
        <f>ROUND(AB274*Weightings!$M$8,1)</f>
        <v>189.2</v>
      </c>
      <c r="AD274" s="1">
        <f t="shared" si="304"/>
        <v>29.1</v>
      </c>
      <c r="AE274" s="185">
        <v>105</v>
      </c>
      <c r="AF274" s="1">
        <f>AE274*Weightings!$M$9</f>
        <v>4.9000000000000004</v>
      </c>
      <c r="AG274" s="1">
        <f>IF(ISNA(VLOOKUP($CZ274,'Audit Values'!$A$2:$AE$439,2,FALSE)),'Preliminary SO66'!L271,VLOOKUP($CZ274,'Audit Values'!$A$2:$AE$439,12,FALSE))</f>
        <v>0</v>
      </c>
      <c r="AH274" s="1">
        <f>ROUND(AG274*Weightings!$M$10,1)</f>
        <v>0</v>
      </c>
      <c r="AI274" s="1">
        <f>IF(ISNA(VLOOKUP($CZ274,'Audit Values'!$A$2:$AE$439,2,FALSE)),'Preliminary SO66'!O271,VLOOKUP($CZ274,'Audit Values'!$A$2:$AE$439,15,FALSE))</f>
        <v>216</v>
      </c>
      <c r="AJ274" s="1">
        <f t="shared" si="324"/>
        <v>68.8</v>
      </c>
      <c r="AK274" s="1">
        <f>CC274/Weightings!$M$5</f>
        <v>0</v>
      </c>
      <c r="AL274" s="1">
        <f>CD274/Weightings!$M$5</f>
        <v>0</v>
      </c>
      <c r="AM274" s="1">
        <f>CH274/Weightings!$M$5</f>
        <v>0</v>
      </c>
      <c r="AN274" s="1">
        <f t="shared" si="310"/>
        <v>0</v>
      </c>
      <c r="AO274" s="1">
        <f>IF(ISNA(VLOOKUP($CZ274,'Audit Values'!$A$2:$AE$439,2,FALSE)),'Preliminary SO66'!X271,VLOOKUP($CZ274,'Audit Values'!$A$2:$AE$439,24,FALSE))</f>
        <v>0</v>
      </c>
      <c r="AP274" s="188">
        <v>1123483</v>
      </c>
      <c r="AQ274" s="113">
        <f>AP274/Weightings!$M$5</f>
        <v>292.7</v>
      </c>
      <c r="AR274" s="113">
        <f t="shared" si="325"/>
        <v>1495.6</v>
      </c>
      <c r="AS274" s="1">
        <f t="shared" si="326"/>
        <v>1788.3</v>
      </c>
      <c r="AT274" s="1">
        <f t="shared" si="327"/>
        <v>1788.3</v>
      </c>
      <c r="AU274" s="2">
        <f t="shared" si="341"/>
        <v>0</v>
      </c>
      <c r="AV274" s="82">
        <f>IF(ISNA(VLOOKUP($CZ274,'Audit Values'!$A$2:$AC$360,2,FALSE)),"",IF(AND(Weightings!H274&gt;0,VLOOKUP($CZ274,'Audit Values'!$A$2:$AC$360,29,FALSE)&lt;Weightings!H274),Weightings!H274,VLOOKUP($CZ274,'Audit Values'!$A$2:$AC$360,29,FALSE)))</f>
        <v>15</v>
      </c>
      <c r="AW274" s="82" t="str">
        <f>IF(ISNA(VLOOKUP($CZ274,'Audit Values'!$A$2:$AD$360,2,FALSE)),"",VLOOKUP($CZ274,'Audit Values'!$A$2:$AD$360,30,FALSE))</f>
        <v>A</v>
      </c>
      <c r="AX274" s="82" t="str">
        <f>IF(Weightings!G274="","",IF(Weightings!I274="Pending","PX","R"))</f>
        <v/>
      </c>
      <c r="AY274" s="114">
        <f>AR274*Weightings!$M$5+AU274</f>
        <v>5740113</v>
      </c>
      <c r="AZ274" s="2">
        <f>AT274*Weightings!$M$5+AU274</f>
        <v>6863495</v>
      </c>
      <c r="BA274" s="2">
        <f>IF(Weightings!G274&gt;0,Weightings!G274,'Preliminary SO66'!AB271)</f>
        <v>7075737</v>
      </c>
      <c r="BB274" s="2">
        <f t="shared" si="328"/>
        <v>6863495</v>
      </c>
      <c r="BC274" s="124"/>
      <c r="BD274" s="124">
        <f>Weightings!E274</f>
        <v>0</v>
      </c>
      <c r="BE274" s="124">
        <f>Weightings!F274</f>
        <v>0</v>
      </c>
      <c r="BF274" s="2">
        <f t="shared" si="329"/>
        <v>0</v>
      </c>
      <c r="BG274" s="2">
        <f t="shared" si="330"/>
        <v>6863495</v>
      </c>
      <c r="BH274" s="2">
        <f>MAX(ROUND(((AR274-AO274)*4433)+AP274,0),ROUND(((AR274-AO274)*4433)+Weightings!B274,0))</f>
        <v>7753478</v>
      </c>
      <c r="BI274" s="174">
        <v>0.3</v>
      </c>
      <c r="BJ274" s="2">
        <f t="shared" si="298"/>
        <v>2326043</v>
      </c>
      <c r="BK274" s="173">
        <v>2376531</v>
      </c>
      <c r="BL274" s="2">
        <f t="shared" si="303"/>
        <v>2326043</v>
      </c>
      <c r="BM274" s="3">
        <f t="shared" si="315"/>
        <v>0.3</v>
      </c>
      <c r="BN274" s="1">
        <f t="shared" si="331"/>
        <v>0</v>
      </c>
      <c r="BO274" s="4" t="b">
        <f t="shared" si="332"/>
        <v>0</v>
      </c>
      <c r="BP274" s="5">
        <f t="shared" si="333"/>
        <v>0</v>
      </c>
      <c r="BQ274" s="6">
        <f t="shared" si="306"/>
        <v>0</v>
      </c>
      <c r="BR274" s="4">
        <f t="shared" si="334"/>
        <v>0</v>
      </c>
      <c r="BS274" s="4" t="b">
        <f t="shared" si="335"/>
        <v>1</v>
      </c>
      <c r="BT274" s="4">
        <f t="shared" si="336"/>
        <v>768.98249999999996</v>
      </c>
      <c r="BU274" s="6">
        <f t="shared" si="307"/>
        <v>0.273067</v>
      </c>
      <c r="BV274" s="1">
        <f t="shared" si="337"/>
        <v>251.6</v>
      </c>
      <c r="BW274" s="1">
        <f t="shared" si="338"/>
        <v>0</v>
      </c>
      <c r="BX274" s="116">
        <v>518</v>
      </c>
      <c r="BY274" s="7">
        <f t="shared" si="342"/>
        <v>0.42</v>
      </c>
      <c r="BZ274" s="7">
        <f>IF(ROUND((Weightings!$P$5*BY274^Weightings!$P$6*Weightings!$P$8 ),2)&lt;Weightings!$P$7,Weightings!$P$7,ROUND((Weightings!$P$5*BY274^Weightings!$P$6*Weightings!$P$8 ),2))</f>
        <v>1221.55</v>
      </c>
      <c r="CA274" s="8">
        <f>ROUND(BZ274/Weightings!$M$5,4)</f>
        <v>0.31830000000000003</v>
      </c>
      <c r="CB274" s="1">
        <f t="shared" si="343"/>
        <v>68.8</v>
      </c>
      <c r="CC274" s="173">
        <v>0</v>
      </c>
      <c r="CD274" s="173">
        <v>0</v>
      </c>
      <c r="CE274" s="173">
        <v>0</v>
      </c>
      <c r="CF274" s="177">
        <v>0</v>
      </c>
      <c r="CG274" s="2">
        <f>AS274*Weightings!$M$5*CF274</f>
        <v>0</v>
      </c>
      <c r="CH274" s="2">
        <f t="shared" si="305"/>
        <v>0</v>
      </c>
      <c r="CI274" s="117">
        <f t="shared" si="339"/>
        <v>0.45</v>
      </c>
      <c r="CJ274" s="4">
        <f t="shared" si="340"/>
        <v>1.8</v>
      </c>
      <c r="CK274" s="1">
        <f t="shared" si="344"/>
        <v>0</v>
      </c>
      <c r="CL274" s="1">
        <f t="shared" si="345"/>
        <v>0</v>
      </c>
      <c r="CM274" s="1">
        <f t="shared" si="346"/>
        <v>29.1</v>
      </c>
      <c r="CN274" s="1">
        <f>IF(ISNA(VLOOKUP($CZ274,'Audit Values'!$A$2:$AE$439,2,FALSE)),'Preliminary SO66'!T271,VLOOKUP($CZ274,'Audit Values'!$A$2:$AE$439,20,FALSE))</f>
        <v>0</v>
      </c>
      <c r="CO274" s="1">
        <f t="shared" si="311"/>
        <v>0</v>
      </c>
      <c r="CP274" s="183">
        <v>0</v>
      </c>
      <c r="CQ274" s="1">
        <f t="shared" si="312"/>
        <v>0</v>
      </c>
      <c r="CR274" s="2">
        <f>IF(ISNA(VLOOKUP($CZ274,'Audit Values'!$A$2:$AE$439,2,FALSE)),'Preliminary SO66'!V271,VLOOKUP($CZ274,'Audit Values'!$A$2:$AE$439,22,FALSE))</f>
        <v>0</v>
      </c>
      <c r="CS274" s="1">
        <f t="shared" si="313"/>
        <v>0</v>
      </c>
      <c r="CT274" s="2">
        <f>IF(ISNA(VLOOKUP($CZ274,'Audit Values'!$A$2:$AE$439,2,FALSE)),'Preliminary SO66'!W271,VLOOKUP($CZ274,'Audit Values'!$A$2:$AE$439,23,FALSE))</f>
        <v>0</v>
      </c>
      <c r="CU274" s="1">
        <f t="shared" si="349"/>
        <v>0</v>
      </c>
      <c r="CV274" s="1">
        <f t="shared" si="350"/>
        <v>0</v>
      </c>
      <c r="CW274" s="176">
        <v>0</v>
      </c>
      <c r="CX274" s="2">
        <f>IF(CW274&gt;0,Weightings!$M$11*AR274,0)</f>
        <v>0</v>
      </c>
      <c r="CY274" s="2">
        <f t="shared" si="347"/>
        <v>0</v>
      </c>
      <c r="CZ274" s="108" t="s">
        <v>566</v>
      </c>
    </row>
    <row r="275" spans="1:104">
      <c r="A275" s="82">
        <v>496</v>
      </c>
      <c r="B275" s="4" t="s">
        <v>109</v>
      </c>
      <c r="C275" s="4" t="s">
        <v>901</v>
      </c>
      <c r="D275" s="1">
        <v>108.5</v>
      </c>
      <c r="E275" s="1">
        <v>0</v>
      </c>
      <c r="F275" s="1">
        <f t="shared" si="351"/>
        <v>108.5</v>
      </c>
      <c r="G275" s="1">
        <v>116.5</v>
      </c>
      <c r="H275" s="1">
        <v>0</v>
      </c>
      <c r="I275" s="1">
        <f t="shared" si="314"/>
        <v>116.5</v>
      </c>
      <c r="J275" s="1">
        <f t="shared" si="316"/>
        <v>166.5</v>
      </c>
      <c r="K275" s="1">
        <f>IF(ISNA(VLOOKUP($CZ275,'Audit Values'!$A$2:$AE$439,2,FALSE)),'Preliminary SO66'!B272,VLOOKUP($CZ275,'Audit Values'!$A$2:$AE$439,31,FALSE))</f>
        <v>112.5</v>
      </c>
      <c r="L275" s="1">
        <f t="shared" si="317"/>
        <v>116.5</v>
      </c>
      <c r="M275" s="1">
        <f>IF(ISNA(VLOOKUP($CZ275,'Audit Values'!$A$2:$AE$439,2,FALSE)),'Preliminary SO66'!Z272,VLOOKUP($CZ275,'Audit Values'!$A$2:$AE$439,26,FALSE))</f>
        <v>0</v>
      </c>
      <c r="N275" s="1">
        <f t="shared" si="318"/>
        <v>116.5</v>
      </c>
      <c r="O275" s="1">
        <f>IF(ISNA(VLOOKUP($CZ275,'Audit Values'!$A$2:$AE$439,2,FALSE)),'Preliminary SO66'!C272,IF(VLOOKUP($CZ275,'Audit Values'!$A$2:$AE$439,28,FALSE)="",VLOOKUP($CZ275,'Audit Values'!$A$2:$AE$439,3,FALSE),VLOOKUP($CZ275,'Audit Values'!$A$2:$AE$439,28,FALSE)))</f>
        <v>0</v>
      </c>
      <c r="P275" s="109">
        <f t="shared" si="319"/>
        <v>112.5</v>
      </c>
      <c r="Q275" s="110">
        <f t="shared" si="320"/>
        <v>166.5</v>
      </c>
      <c r="R275" s="111">
        <f t="shared" si="321"/>
        <v>166.5</v>
      </c>
      <c r="S275" s="1">
        <f t="shared" si="322"/>
        <v>116.5</v>
      </c>
      <c r="T275" s="1">
        <f t="shared" si="348"/>
        <v>54</v>
      </c>
      <c r="U275" s="1">
        <f t="shared" si="323"/>
        <v>113.1</v>
      </c>
      <c r="V275" s="1">
        <f t="shared" si="308"/>
        <v>113.1</v>
      </c>
      <c r="W275" s="1">
        <f t="shared" si="309"/>
        <v>0</v>
      </c>
      <c r="X275" s="1">
        <f>IF(ISNA(VLOOKUP($CZ275,'Audit Values'!$A$2:$AE$439,2,FALSE)),'Preliminary SO66'!D272,VLOOKUP($CZ275,'Audit Values'!$A$2:$AE$439,4,FALSE))</f>
        <v>0</v>
      </c>
      <c r="Y275" s="1">
        <f>ROUND((X275/6)*Weightings!$M$6,1)</f>
        <v>0</v>
      </c>
      <c r="Z275" s="1">
        <f>IF(ISNA(VLOOKUP($CZ275,'Audit Values'!$A$2:$AE$439,2,FALSE)),'Preliminary SO66'!F272,VLOOKUP($CZ275,'Audit Values'!$A$2:$AE$439,6,FALSE))</f>
        <v>0.9</v>
      </c>
      <c r="AA275" s="1">
        <f>ROUND((Z275/6)*Weightings!$M$7,1)</f>
        <v>0.1</v>
      </c>
      <c r="AB275" s="2">
        <f>IF(ISNA(VLOOKUP($CZ275,'Audit Values'!$A$2:$AE$439,2,FALSE)),'Preliminary SO66'!H272,VLOOKUP($CZ275,'Audit Values'!$A$2:$AE$439,8,FALSE))</f>
        <v>36</v>
      </c>
      <c r="AC275" s="1">
        <f>ROUND(AB275*Weightings!$M$8,1)</f>
        <v>16.399999999999999</v>
      </c>
      <c r="AD275" s="1">
        <f t="shared" si="304"/>
        <v>0</v>
      </c>
      <c r="AE275" s="185">
        <v>2</v>
      </c>
      <c r="AF275" s="1">
        <f>AE275*Weightings!$M$9</f>
        <v>0.1</v>
      </c>
      <c r="AG275" s="1">
        <f>IF(ISNA(VLOOKUP($CZ275,'Audit Values'!$A$2:$AE$439,2,FALSE)),'Preliminary SO66'!L272,VLOOKUP($CZ275,'Audit Values'!$A$2:$AE$439,12,FALSE))</f>
        <v>0</v>
      </c>
      <c r="AH275" s="1">
        <f>ROUND(AG275*Weightings!$M$10,1)</f>
        <v>0</v>
      </c>
      <c r="AI275" s="1">
        <f>IF(ISNA(VLOOKUP($CZ275,'Audit Values'!$A$2:$AE$439,2,FALSE)),'Preliminary SO66'!O272,VLOOKUP($CZ275,'Audit Values'!$A$2:$AE$439,15,FALSE))</f>
        <v>49</v>
      </c>
      <c r="AJ275" s="1">
        <f t="shared" si="324"/>
        <v>19.2</v>
      </c>
      <c r="AK275" s="1">
        <f>CC275/Weightings!$M$5</f>
        <v>0</v>
      </c>
      <c r="AL275" s="1">
        <f>CD275/Weightings!$M$5</f>
        <v>0</v>
      </c>
      <c r="AM275" s="1">
        <f>CH275/Weightings!$M$5</f>
        <v>0</v>
      </c>
      <c r="AN275" s="1">
        <f t="shared" si="310"/>
        <v>56.7</v>
      </c>
      <c r="AO275" s="1">
        <f>IF(ISNA(VLOOKUP($CZ275,'Audit Values'!$A$2:$AE$439,2,FALSE)),'Preliminary SO66'!X272,VLOOKUP($CZ275,'Audit Values'!$A$2:$AE$439,24,FALSE))</f>
        <v>0</v>
      </c>
      <c r="AP275" s="188">
        <v>145994</v>
      </c>
      <c r="AQ275" s="113">
        <f>AP275/Weightings!$M$5</f>
        <v>38</v>
      </c>
      <c r="AR275" s="113">
        <f t="shared" si="325"/>
        <v>322.10000000000002</v>
      </c>
      <c r="AS275" s="1">
        <f t="shared" si="326"/>
        <v>360.1</v>
      </c>
      <c r="AT275" s="1">
        <f t="shared" si="327"/>
        <v>360.1</v>
      </c>
      <c r="AU275" s="2">
        <f t="shared" si="341"/>
        <v>80525</v>
      </c>
      <c r="AV275" s="82">
        <f>IF(ISNA(VLOOKUP($CZ275,'Audit Values'!$A$2:$AC$360,2,FALSE)),"",IF(AND(Weightings!H275&gt;0,VLOOKUP($CZ275,'Audit Values'!$A$2:$AC$360,29,FALSE)&lt;Weightings!H275),Weightings!H275,VLOOKUP($CZ275,'Audit Values'!$A$2:$AC$360,29,FALSE)))</f>
        <v>21</v>
      </c>
      <c r="AW275" s="82" t="str">
        <f>IF(ISNA(VLOOKUP($CZ275,'Audit Values'!$A$2:$AD$360,2,FALSE)),"",VLOOKUP($CZ275,'Audit Values'!$A$2:$AD$360,30,FALSE))</f>
        <v>A</v>
      </c>
      <c r="AX275" s="82" t="str">
        <f>IF(Weightings!G275="","",IF(Weightings!I275="Pending","PX","R"))</f>
        <v/>
      </c>
      <c r="AY275" s="114">
        <f>AR275*Weightings!$M$5+AU275</f>
        <v>1316745</v>
      </c>
      <c r="AZ275" s="2">
        <f>AT275*Weightings!$M$5+AU275</f>
        <v>1462589</v>
      </c>
      <c r="BA275" s="2">
        <f>IF(Weightings!G275&gt;0,Weightings!G275,'Preliminary SO66'!AB272)</f>
        <v>1659320</v>
      </c>
      <c r="BB275" s="2">
        <f t="shared" si="328"/>
        <v>1462589</v>
      </c>
      <c r="BC275" s="124"/>
      <c r="BD275" s="124">
        <f>Weightings!E275</f>
        <v>0</v>
      </c>
      <c r="BE275" s="124">
        <f>Weightings!F275</f>
        <v>0</v>
      </c>
      <c r="BF275" s="2">
        <f t="shared" si="329"/>
        <v>0</v>
      </c>
      <c r="BG275" s="2">
        <f t="shared" si="330"/>
        <v>1462589</v>
      </c>
      <c r="BH275" s="2">
        <f>MAX(ROUND(((AR275-AO275)*4433)+AP275,0),ROUND(((AR275-AO275)*4433)+Weightings!B275,0))</f>
        <v>1594358</v>
      </c>
      <c r="BI275" s="174">
        <v>0.31</v>
      </c>
      <c r="BJ275" s="2">
        <f t="shared" si="298"/>
        <v>494251</v>
      </c>
      <c r="BK275" s="173">
        <v>551701</v>
      </c>
      <c r="BL275" s="2">
        <f t="shared" si="303"/>
        <v>494251</v>
      </c>
      <c r="BM275" s="3">
        <f t="shared" si="315"/>
        <v>0.31</v>
      </c>
      <c r="BN275" s="1">
        <f t="shared" si="331"/>
        <v>0</v>
      </c>
      <c r="BO275" s="4" t="b">
        <f t="shared" si="332"/>
        <v>1</v>
      </c>
      <c r="BP275" s="5">
        <f t="shared" si="333"/>
        <v>159.30799999999999</v>
      </c>
      <c r="BQ275" s="6">
        <f t="shared" si="306"/>
        <v>0.97059399999999996</v>
      </c>
      <c r="BR275" s="4">
        <f t="shared" si="334"/>
        <v>113.1</v>
      </c>
      <c r="BS275" s="4" t="b">
        <f t="shared" si="335"/>
        <v>0</v>
      </c>
      <c r="BT275" s="4">
        <f t="shared" si="336"/>
        <v>0</v>
      </c>
      <c r="BU275" s="6">
        <f t="shared" si="307"/>
        <v>0</v>
      </c>
      <c r="BV275" s="1">
        <f t="shared" si="337"/>
        <v>0</v>
      </c>
      <c r="BW275" s="1">
        <f t="shared" si="338"/>
        <v>0</v>
      </c>
      <c r="BX275" s="116">
        <v>283</v>
      </c>
      <c r="BY275" s="7">
        <f t="shared" si="342"/>
        <v>0.17</v>
      </c>
      <c r="BZ275" s="7">
        <f>IF(ROUND((Weightings!$P$5*BY275^Weightings!$P$6*Weightings!$P$8 ),2)&lt;Weightings!$P$7,Weightings!$P$7,ROUND((Weightings!$P$5*BY275^Weightings!$P$6*Weightings!$P$8 ),2))</f>
        <v>1501.44</v>
      </c>
      <c r="CA275" s="8">
        <f>ROUND(BZ275/Weightings!$M$5,4)</f>
        <v>0.39119999999999999</v>
      </c>
      <c r="CB275" s="1">
        <f t="shared" si="343"/>
        <v>19.2</v>
      </c>
      <c r="CC275" s="173">
        <v>0</v>
      </c>
      <c r="CD275" s="173">
        <v>0</v>
      </c>
      <c r="CE275" s="173">
        <v>0</v>
      </c>
      <c r="CF275" s="177">
        <v>0</v>
      </c>
      <c r="CG275" s="2">
        <f>AS275*Weightings!$M$5*CF275</f>
        <v>0</v>
      </c>
      <c r="CH275" s="2">
        <f t="shared" si="305"/>
        <v>0</v>
      </c>
      <c r="CI275" s="117">
        <f t="shared" si="339"/>
        <v>0.309</v>
      </c>
      <c r="CJ275" s="4">
        <f t="shared" si="340"/>
        <v>0.4</v>
      </c>
      <c r="CK275" s="1">
        <f t="shared" si="344"/>
        <v>0</v>
      </c>
      <c r="CL275" s="1">
        <f t="shared" si="345"/>
        <v>0</v>
      </c>
      <c r="CM275" s="1">
        <f t="shared" si="346"/>
        <v>0</v>
      </c>
      <c r="CN275" s="1">
        <f>IF(ISNA(VLOOKUP($CZ275,'Audit Values'!$A$2:$AE$439,2,FALSE)),'Preliminary SO66'!T272,VLOOKUP($CZ275,'Audit Values'!$A$2:$AE$439,20,FALSE))</f>
        <v>54</v>
      </c>
      <c r="CO275" s="1">
        <f t="shared" si="311"/>
        <v>56.7</v>
      </c>
      <c r="CP275" s="183">
        <v>0</v>
      </c>
      <c r="CQ275" s="1">
        <f t="shared" si="312"/>
        <v>0</v>
      </c>
      <c r="CR275" s="2">
        <f>IF(ISNA(VLOOKUP($CZ275,'Audit Values'!$A$2:$AE$439,2,FALSE)),'Preliminary SO66'!V272,VLOOKUP($CZ275,'Audit Values'!$A$2:$AE$439,22,FALSE))</f>
        <v>0</v>
      </c>
      <c r="CS275" s="1">
        <f t="shared" si="313"/>
        <v>0</v>
      </c>
      <c r="CT275" s="2">
        <f>IF(ISNA(VLOOKUP($CZ275,'Audit Values'!$A$2:$AE$439,2,FALSE)),'Preliminary SO66'!W272,VLOOKUP($CZ275,'Audit Values'!$A$2:$AE$439,23,FALSE))</f>
        <v>0</v>
      </c>
      <c r="CU275" s="1">
        <f t="shared" si="349"/>
        <v>0</v>
      </c>
      <c r="CV275" s="1">
        <f t="shared" si="350"/>
        <v>56.7</v>
      </c>
      <c r="CW275" s="176">
        <v>80525</v>
      </c>
      <c r="CX275" s="2">
        <f>IF(CW275&gt;0,Weightings!$M$11*AR275,0)</f>
        <v>80525</v>
      </c>
      <c r="CY275" s="2">
        <f t="shared" si="347"/>
        <v>80525</v>
      </c>
      <c r="CZ275" s="108" t="s">
        <v>567</v>
      </c>
    </row>
    <row r="276" spans="1:104">
      <c r="A276" s="82">
        <v>497</v>
      </c>
      <c r="B276" s="4" t="s">
        <v>65</v>
      </c>
      <c r="C276" s="4" t="s">
        <v>902</v>
      </c>
      <c r="D276" s="1">
        <v>9715</v>
      </c>
      <c r="E276" s="1">
        <v>0</v>
      </c>
      <c r="F276" s="1">
        <f t="shared" si="351"/>
        <v>9715</v>
      </c>
      <c r="G276" s="1">
        <v>9812.6</v>
      </c>
      <c r="H276" s="1">
        <v>0</v>
      </c>
      <c r="I276" s="1">
        <f t="shared" si="314"/>
        <v>9812.6</v>
      </c>
      <c r="J276" s="1">
        <f t="shared" si="316"/>
        <v>11312.2</v>
      </c>
      <c r="K276" s="1">
        <f>IF(ISNA(VLOOKUP($CZ276,'Audit Values'!$A$2:$AE$439,2,FALSE)),'Preliminary SO66'!B273,VLOOKUP($CZ276,'Audit Values'!$A$2:$AE$439,31,FALSE))</f>
        <v>9971.1</v>
      </c>
      <c r="L276" s="1">
        <f t="shared" si="317"/>
        <v>9971.1</v>
      </c>
      <c r="M276" s="1">
        <f>IF(ISNA(VLOOKUP($CZ276,'Audit Values'!$A$2:$AE$439,2,FALSE)),'Preliminary SO66'!Z273,VLOOKUP($CZ276,'Audit Values'!$A$2:$AE$439,26,FALSE))</f>
        <v>0</v>
      </c>
      <c r="N276" s="1">
        <f t="shared" si="318"/>
        <v>9971.1</v>
      </c>
      <c r="O276" s="1">
        <f>IF(ISNA(VLOOKUP($CZ276,'Audit Values'!$A$2:$AE$439,2,FALSE)),'Preliminary SO66'!C273,IF(VLOOKUP($CZ276,'Audit Values'!$A$2:$AE$439,28,FALSE)="",VLOOKUP($CZ276,'Audit Values'!$A$2:$AE$439,3,FALSE),VLOOKUP($CZ276,'Audit Values'!$A$2:$AE$439,28,FALSE)))</f>
        <v>35</v>
      </c>
      <c r="P276" s="109">
        <f t="shared" si="319"/>
        <v>10006.1</v>
      </c>
      <c r="Q276" s="110">
        <f t="shared" si="320"/>
        <v>11347.2</v>
      </c>
      <c r="R276" s="111">
        <f t="shared" si="321"/>
        <v>11347.2</v>
      </c>
      <c r="S276" s="1">
        <f t="shared" si="322"/>
        <v>10006.1</v>
      </c>
      <c r="T276" s="1">
        <f t="shared" si="348"/>
        <v>1341.1</v>
      </c>
      <c r="U276" s="1">
        <f t="shared" si="323"/>
        <v>350.6</v>
      </c>
      <c r="V276" s="1">
        <f t="shared" si="308"/>
        <v>0</v>
      </c>
      <c r="W276" s="1">
        <f t="shared" si="309"/>
        <v>350.6</v>
      </c>
      <c r="X276" s="1">
        <f>IF(ISNA(VLOOKUP($CZ276,'Audit Values'!$A$2:$AE$439,2,FALSE)),'Preliminary SO66'!D273,VLOOKUP($CZ276,'Audit Values'!$A$2:$AE$439,4,FALSE))</f>
        <v>1984.6</v>
      </c>
      <c r="Y276" s="1">
        <f>ROUND((X276/6)*Weightings!$M$6,1)</f>
        <v>165.4</v>
      </c>
      <c r="Z276" s="1">
        <f>IF(ISNA(VLOOKUP($CZ276,'Audit Values'!$A$2:$AE$439,2,FALSE)),'Preliminary SO66'!F273,VLOOKUP($CZ276,'Audit Values'!$A$2:$AE$439,6,FALSE))</f>
        <v>2218.5</v>
      </c>
      <c r="AA276" s="1">
        <f>ROUND((Z276/6)*Weightings!$M$7,1)</f>
        <v>146.1</v>
      </c>
      <c r="AB276" s="2">
        <f>IF(ISNA(VLOOKUP($CZ276,'Audit Values'!$A$2:$AE$439,2,FALSE)),'Preliminary SO66'!H273,VLOOKUP($CZ276,'Audit Values'!$A$2:$AE$439,8,FALSE))</f>
        <v>3431</v>
      </c>
      <c r="AC276" s="1">
        <f>ROUND(AB276*Weightings!$M$8,1)</f>
        <v>1564.5</v>
      </c>
      <c r="AD276" s="1">
        <f t="shared" si="304"/>
        <v>0</v>
      </c>
      <c r="AE276" s="185">
        <v>507</v>
      </c>
      <c r="AF276" s="1">
        <f>AE276*Weightings!$M$9</f>
        <v>23.6</v>
      </c>
      <c r="AG276" s="1">
        <f>IF(ISNA(VLOOKUP($CZ276,'Audit Values'!$A$2:$AE$439,2,FALSE)),'Preliminary SO66'!L273,VLOOKUP($CZ276,'Audit Values'!$A$2:$AE$439,12,FALSE))</f>
        <v>0</v>
      </c>
      <c r="AH276" s="1">
        <f>ROUND(AG276*Weightings!$M$10,1)</f>
        <v>0</v>
      </c>
      <c r="AI276" s="1">
        <f>IF(ISNA(VLOOKUP($CZ276,'Audit Values'!$A$2:$AE$439,2,FALSE)),'Preliminary SO66'!O273,VLOOKUP($CZ276,'Audit Values'!$A$2:$AE$439,15,FALSE))</f>
        <v>2259.1</v>
      </c>
      <c r="AJ276" s="1">
        <f t="shared" si="324"/>
        <v>344.3</v>
      </c>
      <c r="AK276" s="1">
        <f>CC276/Weightings!$M$5</f>
        <v>0</v>
      </c>
      <c r="AL276" s="1">
        <f>CD276/Weightings!$M$5</f>
        <v>0</v>
      </c>
      <c r="AM276" s="1">
        <f>CH276/Weightings!$M$5</f>
        <v>336.2</v>
      </c>
      <c r="AN276" s="1">
        <f t="shared" si="310"/>
        <v>1452.1</v>
      </c>
      <c r="AO276" s="1">
        <f>IF(ISNA(VLOOKUP($CZ276,'Audit Values'!$A$2:$AE$439,2,FALSE)),'Preliminary SO66'!X273,VLOOKUP($CZ276,'Audit Values'!$A$2:$AE$439,24,FALSE))</f>
        <v>2</v>
      </c>
      <c r="AP276" s="188">
        <v>12076534</v>
      </c>
      <c r="AQ276" s="113">
        <f>AP276/Weightings!$M$5</f>
        <v>3146.6</v>
      </c>
      <c r="AR276" s="113">
        <f t="shared" si="325"/>
        <v>14390.9</v>
      </c>
      <c r="AS276" s="1">
        <f t="shared" si="326"/>
        <v>17201.3</v>
      </c>
      <c r="AT276" s="1">
        <f t="shared" si="327"/>
        <v>17537.5</v>
      </c>
      <c r="AU276" s="2">
        <f t="shared" si="341"/>
        <v>0</v>
      </c>
      <c r="AV276" s="82">
        <f>IF(ISNA(VLOOKUP($CZ276,'Audit Values'!$A$2:$AC$360,2,FALSE)),"",IF(AND(Weightings!H276&gt;0,VLOOKUP($CZ276,'Audit Values'!$A$2:$AC$360,29,FALSE)&lt;Weightings!H276),Weightings!H276,VLOOKUP($CZ276,'Audit Values'!$A$2:$AC$360,29,FALSE)))</f>
        <v>17</v>
      </c>
      <c r="AW276" s="82" t="str">
        <f>IF(ISNA(VLOOKUP($CZ276,'Audit Values'!$A$2:$AD$360,2,FALSE)),"",VLOOKUP($CZ276,'Audit Values'!$A$2:$AD$360,30,FALSE))</f>
        <v>A</v>
      </c>
      <c r="AX276" s="82" t="str">
        <f>IF(Weightings!G276="","",IF(Weightings!I276="Pending","PX","R"))</f>
        <v/>
      </c>
      <c r="AY276" s="114">
        <f>AR276*Weightings!$M$5+AU276</f>
        <v>55232274</v>
      </c>
      <c r="AZ276" s="2">
        <f>AT276*Weightings!$M$5+AU276</f>
        <v>67308925</v>
      </c>
      <c r="BA276" s="2">
        <f>IF(Weightings!G276&gt;0,Weightings!G276,'Preliminary SO66'!AB273)</f>
        <v>68468769</v>
      </c>
      <c r="BB276" s="2">
        <f t="shared" si="328"/>
        <v>67308925</v>
      </c>
      <c r="BC276" s="124"/>
      <c r="BD276" s="124">
        <f>Weightings!E276</f>
        <v>-3449</v>
      </c>
      <c r="BE276" s="124">
        <f>Weightings!F276</f>
        <v>0</v>
      </c>
      <c r="BF276" s="2">
        <f t="shared" si="329"/>
        <v>-3449</v>
      </c>
      <c r="BG276" s="2">
        <f t="shared" si="330"/>
        <v>67305476</v>
      </c>
      <c r="BH276" s="2">
        <f>MAX(ROUND(((AR276-AO276)*4433)+AP276,0),ROUND(((AR276-AO276)*4433)+Weightings!B276,0))</f>
        <v>75862528</v>
      </c>
      <c r="BI276" s="174">
        <v>0.31</v>
      </c>
      <c r="BJ276" s="2">
        <f t="shared" si="298"/>
        <v>23517384</v>
      </c>
      <c r="BK276" s="173">
        <v>23940133</v>
      </c>
      <c r="BL276" s="2">
        <f t="shared" si="303"/>
        <v>23517384</v>
      </c>
      <c r="BM276" s="3">
        <f t="shared" si="315"/>
        <v>0.31</v>
      </c>
      <c r="BN276" s="1">
        <f t="shared" si="331"/>
        <v>0</v>
      </c>
      <c r="BO276" s="4" t="b">
        <f t="shared" si="332"/>
        <v>0</v>
      </c>
      <c r="BP276" s="5">
        <f t="shared" si="333"/>
        <v>0</v>
      </c>
      <c r="BQ276" s="6">
        <f t="shared" si="306"/>
        <v>0</v>
      </c>
      <c r="BR276" s="4">
        <f t="shared" si="334"/>
        <v>0</v>
      </c>
      <c r="BS276" s="4" t="b">
        <f t="shared" si="335"/>
        <v>0</v>
      </c>
      <c r="BT276" s="4">
        <f t="shared" si="336"/>
        <v>0</v>
      </c>
      <c r="BU276" s="6">
        <f t="shared" si="307"/>
        <v>0</v>
      </c>
      <c r="BV276" s="1">
        <f t="shared" si="337"/>
        <v>0</v>
      </c>
      <c r="BW276" s="1">
        <f t="shared" si="338"/>
        <v>350.6</v>
      </c>
      <c r="BX276" s="116">
        <v>175.2</v>
      </c>
      <c r="BY276" s="7">
        <f t="shared" si="342"/>
        <v>12.89</v>
      </c>
      <c r="BZ276" s="7">
        <f>IF(ROUND((Weightings!$P$5*BY276^Weightings!$P$6*Weightings!$P$8 ),2)&lt;Weightings!$P$7,Weightings!$P$7,ROUND((Weightings!$P$5*BY276^Weightings!$P$6*Weightings!$P$8 ),2))</f>
        <v>585</v>
      </c>
      <c r="CA276" s="8">
        <f>ROUND(BZ276/Weightings!$M$5,4)</f>
        <v>0.15240000000000001</v>
      </c>
      <c r="CB276" s="1">
        <f t="shared" si="343"/>
        <v>344.3</v>
      </c>
      <c r="CC276" s="173">
        <v>0</v>
      </c>
      <c r="CD276" s="173">
        <v>0</v>
      </c>
      <c r="CE276" s="173">
        <v>1290500</v>
      </c>
      <c r="CF276" s="177">
        <v>2.35E-2</v>
      </c>
      <c r="CG276" s="2">
        <f>AS276*Weightings!$M$5*CF276</f>
        <v>1551437</v>
      </c>
      <c r="CH276" s="2">
        <f t="shared" si="305"/>
        <v>1290500</v>
      </c>
      <c r="CI276" s="117">
        <f t="shared" si="339"/>
        <v>0.34300000000000003</v>
      </c>
      <c r="CJ276" s="4">
        <f t="shared" si="340"/>
        <v>57.1</v>
      </c>
      <c r="CK276" s="1">
        <f t="shared" si="344"/>
        <v>0</v>
      </c>
      <c r="CL276" s="1">
        <f t="shared" si="345"/>
        <v>0</v>
      </c>
      <c r="CM276" s="1">
        <f t="shared" si="346"/>
        <v>0</v>
      </c>
      <c r="CN276" s="1">
        <f>IF(ISNA(VLOOKUP($CZ276,'Audit Values'!$A$2:$AE$439,2,FALSE)),'Preliminary SO66'!T273,VLOOKUP($CZ276,'Audit Values'!$A$2:$AE$439,20,FALSE))</f>
        <v>1341.1</v>
      </c>
      <c r="CO276" s="1">
        <f t="shared" si="311"/>
        <v>1408.2</v>
      </c>
      <c r="CP276" s="181">
        <v>169</v>
      </c>
      <c r="CQ276" s="1">
        <f t="shared" si="312"/>
        <v>42.3</v>
      </c>
      <c r="CR276" s="2">
        <f>IF(ISNA(VLOOKUP($CZ276,'Audit Values'!$A$2:$AE$439,2,FALSE)),'Preliminary SO66'!V273,VLOOKUP($CZ276,'Audit Values'!$A$2:$AE$439,22,FALSE))</f>
        <v>3</v>
      </c>
      <c r="CS276" s="1">
        <f t="shared" si="313"/>
        <v>0.2</v>
      </c>
      <c r="CT276" s="2">
        <f>IF(ISNA(VLOOKUP($CZ276,'Audit Values'!$A$2:$AE$439,2,FALSE)),'Preliminary SO66'!W273,VLOOKUP($CZ276,'Audit Values'!$A$2:$AE$439,23,FALSE))</f>
        <v>18</v>
      </c>
      <c r="CU276" s="1">
        <f t="shared" si="349"/>
        <v>1.4</v>
      </c>
      <c r="CV276" s="1">
        <f t="shared" si="350"/>
        <v>1452.1</v>
      </c>
      <c r="CW276" s="176">
        <v>0</v>
      </c>
      <c r="CX276" s="2">
        <f>IF(CW276&gt;0,Weightings!$M$11*AR276,0)</f>
        <v>0</v>
      </c>
      <c r="CY276" s="2">
        <f t="shared" si="347"/>
        <v>0</v>
      </c>
      <c r="CZ276" s="108" t="s">
        <v>568</v>
      </c>
    </row>
    <row r="277" spans="1:104">
      <c r="A277" s="82">
        <v>498</v>
      </c>
      <c r="B277" s="4" t="s">
        <v>72</v>
      </c>
      <c r="C277" s="4" t="s">
        <v>903</v>
      </c>
      <c r="D277" s="1">
        <v>341</v>
      </c>
      <c r="E277" s="1">
        <v>0</v>
      </c>
      <c r="F277" s="1">
        <f t="shared" si="351"/>
        <v>341</v>
      </c>
      <c r="G277" s="1">
        <v>371.5</v>
      </c>
      <c r="H277" s="1">
        <v>0</v>
      </c>
      <c r="I277" s="1">
        <f t="shared" si="314"/>
        <v>371.5</v>
      </c>
      <c r="J277" s="1">
        <f t="shared" si="316"/>
        <v>390.9</v>
      </c>
      <c r="K277" s="1">
        <f>IF(ISNA(VLOOKUP($CZ277,'Audit Values'!$A$2:$AE$439,2,FALSE)),'Preliminary SO66'!B274,VLOOKUP($CZ277,'Audit Values'!$A$2:$AE$439,31,FALSE))</f>
        <v>390.9</v>
      </c>
      <c r="L277" s="1">
        <f t="shared" si="317"/>
        <v>390.9</v>
      </c>
      <c r="M277" s="1">
        <f>IF(ISNA(VLOOKUP($CZ277,'Audit Values'!$A$2:$AE$439,2,FALSE)),'Preliminary SO66'!Z274,VLOOKUP($CZ277,'Audit Values'!$A$2:$AE$439,26,FALSE))</f>
        <v>0</v>
      </c>
      <c r="N277" s="1">
        <f t="shared" si="318"/>
        <v>390.9</v>
      </c>
      <c r="O277" s="1">
        <f>IF(ISNA(VLOOKUP($CZ277,'Audit Values'!$A$2:$AE$439,2,FALSE)),'Preliminary SO66'!C274,IF(VLOOKUP($CZ277,'Audit Values'!$A$2:$AE$439,28,FALSE)="",VLOOKUP($CZ277,'Audit Values'!$A$2:$AE$439,3,FALSE),VLOOKUP($CZ277,'Audit Values'!$A$2:$AE$439,28,FALSE)))</f>
        <v>3.5</v>
      </c>
      <c r="P277" s="109">
        <f t="shared" si="319"/>
        <v>394.4</v>
      </c>
      <c r="Q277" s="110">
        <f t="shared" si="320"/>
        <v>394.4</v>
      </c>
      <c r="R277" s="111">
        <f t="shared" si="321"/>
        <v>394.4</v>
      </c>
      <c r="S277" s="1">
        <f t="shared" si="322"/>
        <v>394.4</v>
      </c>
      <c r="T277" s="1">
        <f t="shared" si="348"/>
        <v>0</v>
      </c>
      <c r="U277" s="1">
        <f t="shared" si="323"/>
        <v>178.3</v>
      </c>
      <c r="V277" s="1">
        <f t="shared" si="308"/>
        <v>178.3</v>
      </c>
      <c r="W277" s="1">
        <f t="shared" si="309"/>
        <v>0</v>
      </c>
      <c r="X277" s="1">
        <f>IF(ISNA(VLOOKUP($CZ277,'Audit Values'!$A$2:$AE$439,2,FALSE)),'Preliminary SO66'!D274,VLOOKUP($CZ277,'Audit Values'!$A$2:$AE$439,4,FALSE))</f>
        <v>84.2</v>
      </c>
      <c r="Y277" s="1">
        <f>ROUND((X277/6)*Weightings!$M$6,1)</f>
        <v>7</v>
      </c>
      <c r="Z277" s="1">
        <f>IF(ISNA(VLOOKUP($CZ277,'Audit Values'!$A$2:$AE$439,2,FALSE)),'Preliminary SO66'!F274,VLOOKUP($CZ277,'Audit Values'!$A$2:$AE$439,6,FALSE))</f>
        <v>0</v>
      </c>
      <c r="AA277" s="1">
        <f>ROUND((Z277/6)*Weightings!$M$7,1)</f>
        <v>0</v>
      </c>
      <c r="AB277" s="2">
        <f>IF(ISNA(VLOOKUP($CZ277,'Audit Values'!$A$2:$AE$439,2,FALSE)),'Preliminary SO66'!H274,VLOOKUP($CZ277,'Audit Values'!$A$2:$AE$439,8,FALSE))</f>
        <v>173</v>
      </c>
      <c r="AC277" s="1">
        <f>ROUND(AB277*Weightings!$M$8,1)</f>
        <v>78.900000000000006</v>
      </c>
      <c r="AD277" s="1">
        <f t="shared" si="304"/>
        <v>10.8</v>
      </c>
      <c r="AE277" s="185">
        <v>42</v>
      </c>
      <c r="AF277" s="1">
        <f>AE277*Weightings!$M$9</f>
        <v>2</v>
      </c>
      <c r="AG277" s="1">
        <f>IF(ISNA(VLOOKUP($CZ277,'Audit Values'!$A$2:$AE$439,2,FALSE)),'Preliminary SO66'!L274,VLOOKUP($CZ277,'Audit Values'!$A$2:$AE$439,12,FALSE))</f>
        <v>0</v>
      </c>
      <c r="AH277" s="1">
        <f>ROUND(AG277*Weightings!$M$10,1)</f>
        <v>0</v>
      </c>
      <c r="AI277" s="1">
        <f>IF(ISNA(VLOOKUP($CZ277,'Audit Values'!$A$2:$AE$439,2,FALSE)),'Preliminary SO66'!O274,VLOOKUP($CZ277,'Audit Values'!$A$2:$AE$439,15,FALSE))</f>
        <v>235</v>
      </c>
      <c r="AJ277" s="1">
        <f t="shared" si="324"/>
        <v>59.4</v>
      </c>
      <c r="AK277" s="1">
        <f>CC277/Weightings!$M$5</f>
        <v>0</v>
      </c>
      <c r="AL277" s="1">
        <f>CD277/Weightings!$M$5</f>
        <v>0</v>
      </c>
      <c r="AM277" s="1">
        <f>CH277/Weightings!$M$5</f>
        <v>0</v>
      </c>
      <c r="AN277" s="1">
        <f t="shared" si="310"/>
        <v>0</v>
      </c>
      <c r="AO277" s="1">
        <f>IF(ISNA(VLOOKUP($CZ277,'Audit Values'!$A$2:$AE$439,2,FALSE)),'Preliminary SO66'!X274,VLOOKUP($CZ277,'Audit Values'!$A$2:$AE$439,24,FALSE))</f>
        <v>0</v>
      </c>
      <c r="AP277" s="188">
        <v>372867</v>
      </c>
      <c r="AQ277" s="113">
        <f>AP277/Weightings!$M$5</f>
        <v>97.2</v>
      </c>
      <c r="AR277" s="113">
        <f t="shared" si="325"/>
        <v>730.8</v>
      </c>
      <c r="AS277" s="1">
        <f t="shared" si="326"/>
        <v>828</v>
      </c>
      <c r="AT277" s="1">
        <f t="shared" si="327"/>
        <v>828</v>
      </c>
      <c r="AU277" s="2">
        <f t="shared" si="341"/>
        <v>757</v>
      </c>
      <c r="AV277" s="82">
        <f>IF(ISNA(VLOOKUP($CZ277,'Audit Values'!$A$2:$AC$360,2,FALSE)),"",IF(AND(Weightings!H277&gt;0,VLOOKUP($CZ277,'Audit Values'!$A$2:$AC$360,29,FALSE)&lt;Weightings!H277),Weightings!H277,VLOOKUP($CZ277,'Audit Values'!$A$2:$AC$360,29,FALSE)))</f>
        <v>20</v>
      </c>
      <c r="AW277" s="82" t="str">
        <f>IF(ISNA(VLOOKUP($CZ277,'Audit Values'!$A$2:$AD$360,2,FALSE)),"",VLOOKUP($CZ277,'Audit Values'!$A$2:$AD$360,30,FALSE))</f>
        <v>A</v>
      </c>
      <c r="AX277" s="82" t="str">
        <f>IF(Weightings!G277="","",IF(Weightings!I277="Pending","PX","R"))</f>
        <v>R</v>
      </c>
      <c r="AY277" s="114">
        <f>AR277*Weightings!$M$5+AU277</f>
        <v>2805567</v>
      </c>
      <c r="AZ277" s="2">
        <f>AT277*Weightings!$M$5+AU277</f>
        <v>3178621</v>
      </c>
      <c r="BA277" s="2">
        <f>IF(Weightings!G277&gt;0,Weightings!G277,'Preliminary SO66'!AB274)</f>
        <v>3238878</v>
      </c>
      <c r="BB277" s="2">
        <f t="shared" si="328"/>
        <v>3178621</v>
      </c>
      <c r="BC277" s="124"/>
      <c r="BD277" s="124">
        <f>Weightings!E277</f>
        <v>-3931</v>
      </c>
      <c r="BE277" s="124">
        <f>Weightings!F277</f>
        <v>0</v>
      </c>
      <c r="BF277" s="2">
        <f t="shared" si="329"/>
        <v>-3931</v>
      </c>
      <c r="BG277" s="2">
        <f t="shared" si="330"/>
        <v>3174690</v>
      </c>
      <c r="BH277" s="2">
        <f>MAX(ROUND(((AR277-AO277)*4433)+AP277,0),ROUND(((AR277-AO277)*4433)+Weightings!B277,0))</f>
        <v>3748790</v>
      </c>
      <c r="BI277" s="174">
        <v>0.3</v>
      </c>
      <c r="BJ277" s="2">
        <f t="shared" si="298"/>
        <v>1124637</v>
      </c>
      <c r="BK277" s="173">
        <v>1087134</v>
      </c>
      <c r="BL277" s="2">
        <f t="shared" si="303"/>
        <v>1087134</v>
      </c>
      <c r="BM277" s="3">
        <f t="shared" si="315"/>
        <v>0.28999999999999998</v>
      </c>
      <c r="BN277" s="1">
        <f t="shared" si="331"/>
        <v>0</v>
      </c>
      <c r="BO277" s="4" t="b">
        <f t="shared" si="332"/>
        <v>0</v>
      </c>
      <c r="BP277" s="5">
        <f t="shared" si="333"/>
        <v>0</v>
      </c>
      <c r="BQ277" s="6">
        <f t="shared" si="306"/>
        <v>0</v>
      </c>
      <c r="BR277" s="4">
        <f t="shared" si="334"/>
        <v>0</v>
      </c>
      <c r="BS277" s="4" t="b">
        <f t="shared" si="335"/>
        <v>1</v>
      </c>
      <c r="BT277" s="4">
        <f t="shared" si="336"/>
        <v>116.82</v>
      </c>
      <c r="BU277" s="6">
        <f t="shared" si="307"/>
        <v>0.45211400000000002</v>
      </c>
      <c r="BV277" s="1">
        <f t="shared" si="337"/>
        <v>178.3</v>
      </c>
      <c r="BW277" s="1">
        <f t="shared" si="338"/>
        <v>0</v>
      </c>
      <c r="BX277" s="116">
        <v>205</v>
      </c>
      <c r="BY277" s="7">
        <f t="shared" si="342"/>
        <v>1.1499999999999999</v>
      </c>
      <c r="BZ277" s="7">
        <f>IF(ROUND((Weightings!$P$5*BY277^Weightings!$P$6*Weightings!$P$8 ),2)&lt;Weightings!$P$7,Weightings!$P$7,ROUND((Weightings!$P$5*BY277^Weightings!$P$6*Weightings!$P$8 ),2))</f>
        <v>970.8</v>
      </c>
      <c r="CA277" s="8">
        <f>ROUND(BZ277/Weightings!$M$5,4)</f>
        <v>0.25290000000000001</v>
      </c>
      <c r="CB277" s="1">
        <f t="shared" si="343"/>
        <v>59.4</v>
      </c>
      <c r="CC277" s="173">
        <v>0</v>
      </c>
      <c r="CD277" s="173">
        <v>0</v>
      </c>
      <c r="CE277" s="173">
        <v>0</v>
      </c>
      <c r="CF277" s="177">
        <v>0</v>
      </c>
      <c r="CG277" s="2">
        <f>AS277*Weightings!$M$5*CF277</f>
        <v>0</v>
      </c>
      <c r="CH277" s="2">
        <f t="shared" si="305"/>
        <v>0</v>
      </c>
      <c r="CI277" s="117">
        <f t="shared" si="339"/>
        <v>0.439</v>
      </c>
      <c r="CJ277" s="4">
        <f t="shared" si="340"/>
        <v>1.9</v>
      </c>
      <c r="CK277" s="1">
        <f t="shared" si="344"/>
        <v>0</v>
      </c>
      <c r="CL277" s="1">
        <f t="shared" si="345"/>
        <v>0</v>
      </c>
      <c r="CM277" s="1">
        <f t="shared" si="346"/>
        <v>10.8</v>
      </c>
      <c r="CN277" s="1">
        <f>IF(ISNA(VLOOKUP($CZ277,'Audit Values'!$A$2:$AE$439,2,FALSE)),'Preliminary SO66'!T274,VLOOKUP($CZ277,'Audit Values'!$A$2:$AE$439,20,FALSE))</f>
        <v>0</v>
      </c>
      <c r="CO277" s="1">
        <f t="shared" si="311"/>
        <v>0</v>
      </c>
      <c r="CP277" s="183">
        <v>0</v>
      </c>
      <c r="CQ277" s="1">
        <f t="shared" si="312"/>
        <v>0</v>
      </c>
      <c r="CR277" s="2">
        <f>IF(ISNA(VLOOKUP($CZ277,'Audit Values'!$A$2:$AE$439,2,FALSE)),'Preliminary SO66'!V274,VLOOKUP($CZ277,'Audit Values'!$A$2:$AE$439,22,FALSE))</f>
        <v>0</v>
      </c>
      <c r="CS277" s="1">
        <f t="shared" si="313"/>
        <v>0</v>
      </c>
      <c r="CT277" s="2">
        <f>IF(ISNA(VLOOKUP($CZ277,'Audit Values'!$A$2:$AE$439,2,FALSE)),'Preliminary SO66'!W274,VLOOKUP($CZ277,'Audit Values'!$A$2:$AE$439,23,FALSE))</f>
        <v>0</v>
      </c>
      <c r="CU277" s="1">
        <f t="shared" si="349"/>
        <v>0</v>
      </c>
      <c r="CV277" s="1">
        <f t="shared" si="350"/>
        <v>0</v>
      </c>
      <c r="CW277" s="176">
        <v>757</v>
      </c>
      <c r="CX277" s="2">
        <f>IF(CW277&gt;0,Weightings!$M$11*AR277,0)</f>
        <v>182700</v>
      </c>
      <c r="CY277" s="2">
        <f t="shared" si="347"/>
        <v>757</v>
      </c>
      <c r="CZ277" s="108" t="s">
        <v>569</v>
      </c>
    </row>
    <row r="278" spans="1:104">
      <c r="A278" s="82">
        <v>499</v>
      </c>
      <c r="B278" s="4" t="s">
        <v>31</v>
      </c>
      <c r="C278" s="4" t="s">
        <v>904</v>
      </c>
      <c r="D278" s="1">
        <v>780.2</v>
      </c>
      <c r="E278" s="1">
        <v>0</v>
      </c>
      <c r="F278" s="1">
        <f t="shared" si="351"/>
        <v>780.2</v>
      </c>
      <c r="G278" s="1">
        <v>774.9</v>
      </c>
      <c r="H278" s="1">
        <v>0</v>
      </c>
      <c r="I278" s="1">
        <f t="shared" si="314"/>
        <v>774.9</v>
      </c>
      <c r="J278" s="1">
        <f t="shared" si="316"/>
        <v>800.2</v>
      </c>
      <c r="K278" s="1">
        <f>IF(ISNA(VLOOKUP($CZ278,'Audit Values'!$A$2:$AE$439,2,FALSE)),'Preliminary SO66'!B275,VLOOKUP($CZ278,'Audit Values'!$A$2:$AE$439,31,FALSE))</f>
        <v>800.2</v>
      </c>
      <c r="L278" s="1">
        <f t="shared" si="317"/>
        <v>800.2</v>
      </c>
      <c r="M278" s="1">
        <f>IF(ISNA(VLOOKUP($CZ278,'Audit Values'!$A$2:$AE$439,2,FALSE)),'Preliminary SO66'!Z275,VLOOKUP($CZ278,'Audit Values'!$A$2:$AE$439,26,FALSE))</f>
        <v>0</v>
      </c>
      <c r="N278" s="1">
        <f t="shared" si="318"/>
        <v>800.2</v>
      </c>
      <c r="O278" s="1">
        <f>IF(ISNA(VLOOKUP($CZ278,'Audit Values'!$A$2:$AE$439,2,FALSE)),'Preliminary SO66'!C275,IF(VLOOKUP($CZ278,'Audit Values'!$A$2:$AE$439,28,FALSE)="",VLOOKUP($CZ278,'Audit Values'!$A$2:$AE$439,3,FALSE),VLOOKUP($CZ278,'Audit Values'!$A$2:$AE$439,28,FALSE)))</f>
        <v>12.5</v>
      </c>
      <c r="P278" s="109">
        <f t="shared" si="319"/>
        <v>812.7</v>
      </c>
      <c r="Q278" s="110">
        <f t="shared" si="320"/>
        <v>812.7</v>
      </c>
      <c r="R278" s="111">
        <f t="shared" si="321"/>
        <v>812.7</v>
      </c>
      <c r="S278" s="1">
        <f t="shared" si="322"/>
        <v>812.7</v>
      </c>
      <c r="T278" s="1">
        <f t="shared" si="348"/>
        <v>0</v>
      </c>
      <c r="U278" s="1">
        <f t="shared" si="323"/>
        <v>251.9</v>
      </c>
      <c r="V278" s="1">
        <f t="shared" si="308"/>
        <v>251.9</v>
      </c>
      <c r="W278" s="1">
        <f t="shared" si="309"/>
        <v>0</v>
      </c>
      <c r="X278" s="1">
        <f>IF(ISNA(VLOOKUP($CZ278,'Audit Values'!$A$2:$AE$439,2,FALSE)),'Preliminary SO66'!D275,VLOOKUP($CZ278,'Audit Values'!$A$2:$AE$439,4,FALSE))</f>
        <v>221.8</v>
      </c>
      <c r="Y278" s="1">
        <f>ROUND((X278/6)*Weightings!$M$6,1)</f>
        <v>18.5</v>
      </c>
      <c r="Z278" s="1">
        <f>IF(ISNA(VLOOKUP($CZ278,'Audit Values'!$A$2:$AE$439,2,FALSE)),'Preliminary SO66'!F275,VLOOKUP($CZ278,'Audit Values'!$A$2:$AE$439,6,FALSE))</f>
        <v>0</v>
      </c>
      <c r="AA278" s="1">
        <f>ROUND((Z278/6)*Weightings!$M$7,1)</f>
        <v>0</v>
      </c>
      <c r="AB278" s="2">
        <f>IF(ISNA(VLOOKUP($CZ278,'Audit Values'!$A$2:$AE$439,2,FALSE)),'Preliminary SO66'!H275,VLOOKUP($CZ278,'Audit Values'!$A$2:$AE$439,8,FALSE))</f>
        <v>529</v>
      </c>
      <c r="AC278" s="1">
        <f>ROUND(AB278*Weightings!$M$8,1)</f>
        <v>241.2</v>
      </c>
      <c r="AD278" s="1">
        <f t="shared" si="304"/>
        <v>55.5</v>
      </c>
      <c r="AE278" s="185">
        <v>42</v>
      </c>
      <c r="AF278" s="1">
        <f>AE278*Weightings!$M$9</f>
        <v>2</v>
      </c>
      <c r="AG278" s="1">
        <f>IF(ISNA(VLOOKUP($CZ278,'Audit Values'!$A$2:$AE$439,2,FALSE)),'Preliminary SO66'!L275,VLOOKUP($CZ278,'Audit Values'!$A$2:$AE$439,12,FALSE))</f>
        <v>0</v>
      </c>
      <c r="AH278" s="1">
        <f>ROUND(AG278*Weightings!$M$10,1)</f>
        <v>0</v>
      </c>
      <c r="AI278" s="1">
        <f>IF(ISNA(VLOOKUP($CZ278,'Audit Values'!$A$2:$AE$439,2,FALSE)),'Preliminary SO66'!O275,VLOOKUP($CZ278,'Audit Values'!$A$2:$AE$439,15,FALSE))</f>
        <v>21</v>
      </c>
      <c r="AJ278" s="1">
        <f t="shared" si="324"/>
        <v>5</v>
      </c>
      <c r="AK278" s="1">
        <f>CC278/Weightings!$M$5</f>
        <v>0</v>
      </c>
      <c r="AL278" s="1">
        <f>CD278/Weightings!$M$5</f>
        <v>0</v>
      </c>
      <c r="AM278" s="1">
        <f>CH278/Weightings!$M$5</f>
        <v>0</v>
      </c>
      <c r="AN278" s="1">
        <f t="shared" si="310"/>
        <v>0</v>
      </c>
      <c r="AO278" s="1">
        <f>IF(ISNA(VLOOKUP($CZ278,'Audit Values'!$A$2:$AE$439,2,FALSE)),'Preliminary SO66'!X275,VLOOKUP($CZ278,'Audit Values'!$A$2:$AE$439,24,FALSE))</f>
        <v>0</v>
      </c>
      <c r="AP278" s="188">
        <v>693356</v>
      </c>
      <c r="AQ278" s="113">
        <f>AP278/Weightings!$M$5</f>
        <v>180.7</v>
      </c>
      <c r="AR278" s="113">
        <f t="shared" si="325"/>
        <v>1386.8</v>
      </c>
      <c r="AS278" s="1">
        <f t="shared" si="326"/>
        <v>1567.5</v>
      </c>
      <c r="AT278" s="1">
        <f t="shared" si="327"/>
        <v>1567.5</v>
      </c>
      <c r="AU278" s="2">
        <f t="shared" si="341"/>
        <v>0</v>
      </c>
      <c r="AV278" s="82">
        <f>IF(ISNA(VLOOKUP($CZ278,'Audit Values'!$A$2:$AC$360,2,FALSE)),"",IF(AND(Weightings!H278&gt;0,VLOOKUP($CZ278,'Audit Values'!$A$2:$AC$360,29,FALSE)&lt;Weightings!H278),Weightings!H278,VLOOKUP($CZ278,'Audit Values'!$A$2:$AC$360,29,FALSE)))</f>
        <v>16</v>
      </c>
      <c r="AW278" s="82" t="str">
        <f>IF(ISNA(VLOOKUP($CZ278,'Audit Values'!$A$2:$AD$360,2,FALSE)),"",VLOOKUP($CZ278,'Audit Values'!$A$2:$AD$360,30,FALSE))</f>
        <v>A</v>
      </c>
      <c r="AX278" s="82" t="str">
        <f>IF(Weightings!G278="","",IF(Weightings!I278="Pending","PX","R"))</f>
        <v>R</v>
      </c>
      <c r="AY278" s="114">
        <f>AR278*Weightings!$M$5+AU278</f>
        <v>5322538</v>
      </c>
      <c r="AZ278" s="2">
        <f>AT278*Weightings!$M$5+AU278</f>
        <v>6016065</v>
      </c>
      <c r="BA278" s="2">
        <f>IF(Weightings!G278&gt;0,Weightings!G278,'Preliminary SO66'!AB275)</f>
        <v>6170736</v>
      </c>
      <c r="BB278" s="2">
        <f t="shared" si="328"/>
        <v>6016065</v>
      </c>
      <c r="BC278" s="124"/>
      <c r="BD278" s="124">
        <f>Weightings!E278</f>
        <v>0</v>
      </c>
      <c r="BE278" s="124">
        <f>Weightings!F278</f>
        <v>0</v>
      </c>
      <c r="BF278" s="2">
        <f t="shared" si="329"/>
        <v>0</v>
      </c>
      <c r="BG278" s="2">
        <f t="shared" si="330"/>
        <v>6016065</v>
      </c>
      <c r="BH278" s="2">
        <f>MAX(ROUND(((AR278-AO278)*4433)+AP278,0),ROUND(((AR278-AO278)*4433)+Weightings!B278,0))</f>
        <v>6841040</v>
      </c>
      <c r="BI278" s="174">
        <v>0.3</v>
      </c>
      <c r="BJ278" s="2">
        <f t="shared" si="298"/>
        <v>2052312</v>
      </c>
      <c r="BK278" s="173">
        <v>1379300</v>
      </c>
      <c r="BL278" s="2">
        <f t="shared" si="303"/>
        <v>1379300</v>
      </c>
      <c r="BM278" s="3">
        <f t="shared" si="315"/>
        <v>0.2016</v>
      </c>
      <c r="BN278" s="1">
        <f t="shared" si="331"/>
        <v>0</v>
      </c>
      <c r="BO278" s="4" t="b">
        <f t="shared" si="332"/>
        <v>0</v>
      </c>
      <c r="BP278" s="5">
        <f t="shared" si="333"/>
        <v>0</v>
      </c>
      <c r="BQ278" s="6">
        <f t="shared" si="306"/>
        <v>0</v>
      </c>
      <c r="BR278" s="4">
        <f t="shared" si="334"/>
        <v>0</v>
      </c>
      <c r="BS278" s="4" t="b">
        <f t="shared" si="335"/>
        <v>1</v>
      </c>
      <c r="BT278" s="4">
        <f t="shared" si="336"/>
        <v>634.46630000000005</v>
      </c>
      <c r="BU278" s="6">
        <f t="shared" si="307"/>
        <v>0.30999700000000002</v>
      </c>
      <c r="BV278" s="1">
        <f t="shared" si="337"/>
        <v>251.9</v>
      </c>
      <c r="BW278" s="1">
        <f t="shared" si="338"/>
        <v>0</v>
      </c>
      <c r="BX278" s="116">
        <v>13.5</v>
      </c>
      <c r="BY278" s="7">
        <f t="shared" si="342"/>
        <v>1.56</v>
      </c>
      <c r="BZ278" s="7">
        <f>IF(ROUND((Weightings!$P$5*BY278^Weightings!$P$6*Weightings!$P$8 ),2)&lt;Weightings!$P$7,Weightings!$P$7,ROUND((Weightings!$P$5*BY278^Weightings!$P$6*Weightings!$P$8 ),2))</f>
        <v>905.57</v>
      </c>
      <c r="CA278" s="8">
        <f>ROUND(BZ278/Weightings!$M$5,4)</f>
        <v>0.2359</v>
      </c>
      <c r="CB278" s="1">
        <f t="shared" si="343"/>
        <v>5</v>
      </c>
      <c r="CC278" s="173">
        <v>0</v>
      </c>
      <c r="CD278" s="173">
        <v>0</v>
      </c>
      <c r="CE278" s="173">
        <v>0</v>
      </c>
      <c r="CF278" s="177">
        <v>0</v>
      </c>
      <c r="CG278" s="2">
        <f>AS278*Weightings!$M$5*CF278</f>
        <v>0</v>
      </c>
      <c r="CH278" s="2">
        <f t="shared" si="305"/>
        <v>0</v>
      </c>
      <c r="CI278" s="117">
        <f t="shared" si="339"/>
        <v>0.65100000000000002</v>
      </c>
      <c r="CJ278" s="4">
        <f t="shared" si="340"/>
        <v>60.2</v>
      </c>
      <c r="CK278" s="1">
        <f t="shared" si="344"/>
        <v>55.5</v>
      </c>
      <c r="CL278" s="1">
        <f t="shared" si="345"/>
        <v>0</v>
      </c>
      <c r="CM278" s="1">
        <f t="shared" si="346"/>
        <v>0</v>
      </c>
      <c r="CN278" s="1">
        <f>IF(ISNA(VLOOKUP($CZ278,'Audit Values'!$A$2:$AE$439,2,FALSE)),'Preliminary SO66'!T275,VLOOKUP($CZ278,'Audit Values'!$A$2:$AE$439,20,FALSE))</f>
        <v>0</v>
      </c>
      <c r="CO278" s="1">
        <f t="shared" si="311"/>
        <v>0</v>
      </c>
      <c r="CP278" s="183">
        <v>0</v>
      </c>
      <c r="CQ278" s="1">
        <f t="shared" si="312"/>
        <v>0</v>
      </c>
      <c r="CR278" s="2">
        <f>IF(ISNA(VLOOKUP($CZ278,'Audit Values'!$A$2:$AE$439,2,FALSE)),'Preliminary SO66'!V275,VLOOKUP($CZ278,'Audit Values'!$A$2:$AE$439,22,FALSE))</f>
        <v>0</v>
      </c>
      <c r="CS278" s="1">
        <f t="shared" si="313"/>
        <v>0</v>
      </c>
      <c r="CT278" s="2">
        <f>IF(ISNA(VLOOKUP($CZ278,'Audit Values'!$A$2:$AE$439,2,FALSE)),'Preliminary SO66'!W275,VLOOKUP($CZ278,'Audit Values'!$A$2:$AE$439,23,FALSE))</f>
        <v>0</v>
      </c>
      <c r="CU278" s="1">
        <f t="shared" si="349"/>
        <v>0</v>
      </c>
      <c r="CV278" s="1">
        <f t="shared" si="350"/>
        <v>0</v>
      </c>
      <c r="CW278" s="176">
        <v>0</v>
      </c>
      <c r="CX278" s="2">
        <f>IF(CW278&gt;0,Weightings!$M$11*AR278,0)</f>
        <v>0</v>
      </c>
      <c r="CY278" s="2">
        <f t="shared" si="347"/>
        <v>0</v>
      </c>
      <c r="CZ278" s="108" t="s">
        <v>570</v>
      </c>
    </row>
    <row r="279" spans="1:104">
      <c r="A279" s="82">
        <v>500</v>
      </c>
      <c r="B279" s="4" t="s">
        <v>11</v>
      </c>
      <c r="C279" s="4" t="s">
        <v>905</v>
      </c>
      <c r="D279" s="1">
        <v>18589.400000000001</v>
      </c>
      <c r="E279" s="1">
        <v>0</v>
      </c>
      <c r="F279" s="1">
        <f t="shared" si="351"/>
        <v>18589.400000000001</v>
      </c>
      <c r="G279" s="1">
        <v>18984.2</v>
      </c>
      <c r="H279" s="1">
        <v>0</v>
      </c>
      <c r="I279" s="1">
        <f t="shared" si="314"/>
        <v>18984.2</v>
      </c>
      <c r="J279" s="1">
        <f t="shared" si="316"/>
        <v>19713.2</v>
      </c>
      <c r="K279" s="1">
        <f>IF(ISNA(VLOOKUP($CZ279,'Audit Values'!$A$2:$AE$439,2,FALSE)),'Preliminary SO66'!B276,VLOOKUP($CZ279,'Audit Values'!$A$2:$AE$439,31,FALSE))</f>
        <v>19713.2</v>
      </c>
      <c r="L279" s="1">
        <f t="shared" si="317"/>
        <v>19713.2</v>
      </c>
      <c r="M279" s="1">
        <f>IF(ISNA(VLOOKUP($CZ279,'Audit Values'!$A$2:$AE$439,2,FALSE)),'Preliminary SO66'!Z276,VLOOKUP($CZ279,'Audit Values'!$A$2:$AE$439,26,FALSE))</f>
        <v>0</v>
      </c>
      <c r="N279" s="1">
        <f t="shared" si="318"/>
        <v>19713.2</v>
      </c>
      <c r="O279" s="1">
        <f>IF(ISNA(VLOOKUP($CZ279,'Audit Values'!$A$2:$AE$439,2,FALSE)),'Preliminary SO66'!C276,IF(VLOOKUP($CZ279,'Audit Values'!$A$2:$AE$439,28,FALSE)="",VLOOKUP($CZ279,'Audit Values'!$A$2:$AE$439,3,FALSE),VLOOKUP($CZ279,'Audit Values'!$A$2:$AE$439,28,FALSE)))</f>
        <v>285</v>
      </c>
      <c r="P279" s="109">
        <f t="shared" si="319"/>
        <v>19998.2</v>
      </c>
      <c r="Q279" s="110">
        <f t="shared" si="320"/>
        <v>19998.2</v>
      </c>
      <c r="R279" s="111">
        <f t="shared" si="321"/>
        <v>19998.2</v>
      </c>
      <c r="S279" s="1">
        <f t="shared" si="322"/>
        <v>19998.2</v>
      </c>
      <c r="T279" s="1">
        <f t="shared" si="348"/>
        <v>0</v>
      </c>
      <c r="U279" s="1">
        <f t="shared" si="323"/>
        <v>700.7</v>
      </c>
      <c r="V279" s="1">
        <f t="shared" si="308"/>
        <v>0</v>
      </c>
      <c r="W279" s="1">
        <f t="shared" si="309"/>
        <v>700.7</v>
      </c>
      <c r="X279" s="1">
        <f>IF(ISNA(VLOOKUP($CZ279,'Audit Values'!$A$2:$AE$439,2,FALSE)),'Preliminary SO66'!D276,VLOOKUP($CZ279,'Audit Values'!$A$2:$AE$439,4,FALSE))</f>
        <v>4379</v>
      </c>
      <c r="Y279" s="1">
        <f>ROUND((X279/6)*Weightings!$M$6,1)</f>
        <v>364.9</v>
      </c>
      <c r="Z279" s="1">
        <f>IF(ISNA(VLOOKUP($CZ279,'Audit Values'!$A$2:$AE$439,2,FALSE)),'Preliminary SO66'!F276,VLOOKUP($CZ279,'Audit Values'!$A$2:$AE$439,6,FALSE))</f>
        <v>24510</v>
      </c>
      <c r="AA279" s="1">
        <f>ROUND((Z279/6)*Weightings!$M$7,1)</f>
        <v>1613.6</v>
      </c>
      <c r="AB279" s="2">
        <f>IF(ISNA(VLOOKUP($CZ279,'Audit Values'!$A$2:$AE$439,2,FALSE)),'Preliminary SO66'!H276,VLOOKUP($CZ279,'Audit Values'!$A$2:$AE$439,8,FALSE))</f>
        <v>17615</v>
      </c>
      <c r="AC279" s="1">
        <f>ROUND(AB279*Weightings!$M$8,1)</f>
        <v>8032.4</v>
      </c>
      <c r="AD279" s="1">
        <f t="shared" si="304"/>
        <v>1849.6</v>
      </c>
      <c r="AE279" s="185">
        <v>904</v>
      </c>
      <c r="AF279" s="1">
        <f>AE279*Weightings!$M$9</f>
        <v>42</v>
      </c>
      <c r="AG279" s="1">
        <f>IF(ISNA(VLOOKUP($CZ279,'Audit Values'!$A$2:$AE$439,2,FALSE)),'Preliminary SO66'!L276,VLOOKUP($CZ279,'Audit Values'!$A$2:$AE$439,12,FALSE))</f>
        <v>966.1</v>
      </c>
      <c r="AH279" s="1">
        <f>ROUND(AG279*Weightings!$M$10,1)</f>
        <v>241.5</v>
      </c>
      <c r="AI279" s="1">
        <f>IF(ISNA(VLOOKUP($CZ279,'Audit Values'!$A$2:$AE$439,2,FALSE)),'Preliminary SO66'!O276,VLOOKUP($CZ279,'Audit Values'!$A$2:$AE$439,15,FALSE))</f>
        <v>3931.7</v>
      </c>
      <c r="AJ279" s="1">
        <f t="shared" si="324"/>
        <v>599.20000000000005</v>
      </c>
      <c r="AK279" s="1">
        <f>CC279/Weightings!$M$5</f>
        <v>0</v>
      </c>
      <c r="AL279" s="1">
        <f>CD279/Weightings!$M$5</f>
        <v>0</v>
      </c>
      <c r="AM279" s="1">
        <f>CH279/Weightings!$M$5</f>
        <v>0</v>
      </c>
      <c r="AN279" s="1">
        <f t="shared" si="310"/>
        <v>0</v>
      </c>
      <c r="AO279" s="1">
        <f>IF(ISNA(VLOOKUP($CZ279,'Audit Values'!$A$2:$AE$439,2,FALSE)),'Preliminary SO66'!X276,VLOOKUP($CZ279,'Audit Values'!$A$2:$AE$439,24,FALSE))</f>
        <v>0</v>
      </c>
      <c r="AP279" s="188">
        <v>14365272</v>
      </c>
      <c r="AQ279" s="113">
        <f>AP279/Weightings!$M$5</f>
        <v>3742.9</v>
      </c>
      <c r="AR279" s="113">
        <f t="shared" si="325"/>
        <v>33442.1</v>
      </c>
      <c r="AS279" s="1">
        <f t="shared" si="326"/>
        <v>37185</v>
      </c>
      <c r="AT279" s="1">
        <f t="shared" si="327"/>
        <v>37185</v>
      </c>
      <c r="AU279" s="2">
        <f t="shared" si="341"/>
        <v>0</v>
      </c>
      <c r="AV279" s="82">
        <f>IF(ISNA(VLOOKUP($CZ279,'Audit Values'!$A$2:$AC$360,2,FALSE)),"",IF(AND(Weightings!H279&gt;0,VLOOKUP($CZ279,'Audit Values'!$A$2:$AC$360,29,FALSE)&lt;Weightings!H279),Weightings!H279,VLOOKUP($CZ279,'Audit Values'!$A$2:$AC$360,29,FALSE)))</f>
        <v>10</v>
      </c>
      <c r="AW279" s="82" t="str">
        <f>IF(ISNA(VLOOKUP($CZ279,'Audit Values'!$A$2:$AD$360,2,FALSE)),"",VLOOKUP($CZ279,'Audit Values'!$A$2:$AD$360,30,FALSE))</f>
        <v>A</v>
      </c>
      <c r="AX279" s="82" t="str">
        <f>IF(Weightings!G279="","",IF(Weightings!I279="Pending","PX","R"))</f>
        <v>R</v>
      </c>
      <c r="AY279" s="114">
        <f>AR279*Weightings!$M$5+AU279</f>
        <v>128350780</v>
      </c>
      <c r="AZ279" s="2">
        <f>AT279*Weightings!$M$5+AU279</f>
        <v>142716030</v>
      </c>
      <c r="BA279" s="2">
        <f>IF(Weightings!G279&gt;0,Weightings!G279,'Preliminary SO66'!AB276)</f>
        <v>144604326</v>
      </c>
      <c r="BB279" s="2">
        <f t="shared" si="328"/>
        <v>142716030</v>
      </c>
      <c r="BC279" s="124"/>
      <c r="BD279" s="124">
        <f>Weightings!E279</f>
        <v>-2300</v>
      </c>
      <c r="BE279" s="124">
        <f>Weightings!F279</f>
        <v>0</v>
      </c>
      <c r="BF279" s="2">
        <f t="shared" si="329"/>
        <v>-2300</v>
      </c>
      <c r="BG279" s="2">
        <f t="shared" si="330"/>
        <v>142713730</v>
      </c>
      <c r="BH279" s="2">
        <f>MAX(ROUND(((AR279-AO279)*4433)+AP279,0),ROUND(((AR279-AO279)*4433)+Weightings!B279,0))</f>
        <v>162940574</v>
      </c>
      <c r="BI279" s="174">
        <v>0.3</v>
      </c>
      <c r="BJ279" s="2">
        <f t="shared" si="298"/>
        <v>48882172</v>
      </c>
      <c r="BK279" s="173">
        <v>47131770</v>
      </c>
      <c r="BL279" s="2">
        <f t="shared" si="303"/>
        <v>47131770</v>
      </c>
      <c r="BM279" s="3">
        <f t="shared" si="315"/>
        <v>0.2893</v>
      </c>
      <c r="BN279" s="1">
        <f t="shared" si="331"/>
        <v>0</v>
      </c>
      <c r="BO279" s="4" t="b">
        <f t="shared" si="332"/>
        <v>0</v>
      </c>
      <c r="BP279" s="5">
        <f t="shared" si="333"/>
        <v>0</v>
      </c>
      <c r="BQ279" s="6">
        <f t="shared" si="306"/>
        <v>0</v>
      </c>
      <c r="BR279" s="4">
        <f t="shared" si="334"/>
        <v>0</v>
      </c>
      <c r="BS279" s="4" t="b">
        <f t="shared" si="335"/>
        <v>0</v>
      </c>
      <c r="BT279" s="4">
        <f t="shared" si="336"/>
        <v>0</v>
      </c>
      <c r="BU279" s="6">
        <f t="shared" si="307"/>
        <v>0</v>
      </c>
      <c r="BV279" s="1">
        <f t="shared" si="337"/>
        <v>0</v>
      </c>
      <c r="BW279" s="1">
        <f t="shared" si="338"/>
        <v>700.7</v>
      </c>
      <c r="BX279" s="116">
        <v>59</v>
      </c>
      <c r="BY279" s="7">
        <f t="shared" si="342"/>
        <v>66.64</v>
      </c>
      <c r="BZ279" s="7">
        <f>IF(ROUND((Weightings!$P$5*BY279^Weightings!$P$6*Weightings!$P$8 ),2)&lt;Weightings!$P$7,Weightings!$P$7,ROUND((Weightings!$P$5*BY279^Weightings!$P$6*Weightings!$P$8 ),2))</f>
        <v>585</v>
      </c>
      <c r="CA279" s="8">
        <f>ROUND(BZ279/Weightings!$M$5,4)</f>
        <v>0.15240000000000001</v>
      </c>
      <c r="CB279" s="1">
        <f t="shared" si="343"/>
        <v>599.20000000000005</v>
      </c>
      <c r="CC279" s="173">
        <v>0</v>
      </c>
      <c r="CD279" s="173">
        <v>0</v>
      </c>
      <c r="CE279" s="173">
        <v>0</v>
      </c>
      <c r="CF279" s="177">
        <v>0</v>
      </c>
      <c r="CG279" s="2">
        <f>AS279*Weightings!$M$5*CF279</f>
        <v>0</v>
      </c>
      <c r="CH279" s="2">
        <f t="shared" si="305"/>
        <v>0</v>
      </c>
      <c r="CI279" s="117">
        <f t="shared" si="339"/>
        <v>0.88100000000000001</v>
      </c>
      <c r="CJ279" s="4">
        <f t="shared" si="340"/>
        <v>339</v>
      </c>
      <c r="CK279" s="1">
        <f t="shared" si="344"/>
        <v>1849.6</v>
      </c>
      <c r="CL279" s="1">
        <f t="shared" si="345"/>
        <v>1849.6</v>
      </c>
      <c r="CM279" s="1">
        <f t="shared" si="346"/>
        <v>0</v>
      </c>
      <c r="CN279" s="1">
        <f>IF(ISNA(VLOOKUP($CZ279,'Audit Values'!$A$2:$AE$439,2,FALSE)),'Preliminary SO66'!T276,VLOOKUP($CZ279,'Audit Values'!$A$2:$AE$439,20,FALSE))</f>
        <v>0</v>
      </c>
      <c r="CO279" s="1">
        <f t="shared" si="311"/>
        <v>0</v>
      </c>
      <c r="CP279" s="183">
        <v>0</v>
      </c>
      <c r="CQ279" s="1">
        <f t="shared" si="312"/>
        <v>0</v>
      </c>
      <c r="CR279" s="2">
        <f>IF(ISNA(VLOOKUP($CZ279,'Audit Values'!$A$2:$AE$439,2,FALSE)),'Preliminary SO66'!V276,VLOOKUP($CZ279,'Audit Values'!$A$2:$AE$439,22,FALSE))</f>
        <v>0</v>
      </c>
      <c r="CS279" s="1">
        <f t="shared" si="313"/>
        <v>0</v>
      </c>
      <c r="CT279" s="2">
        <f>IF(ISNA(VLOOKUP($CZ279,'Audit Values'!$A$2:$AE$439,2,FALSE)),'Preliminary SO66'!W276,VLOOKUP($CZ279,'Audit Values'!$A$2:$AE$439,23,FALSE))</f>
        <v>0</v>
      </c>
      <c r="CU279" s="1">
        <f t="shared" si="349"/>
        <v>0</v>
      </c>
      <c r="CV279" s="1">
        <f t="shared" si="350"/>
        <v>0</v>
      </c>
      <c r="CW279" s="176">
        <v>0</v>
      </c>
      <c r="CX279" s="2">
        <f>IF(CW279&gt;0,Weightings!$M$11*AR279,0)</f>
        <v>0</v>
      </c>
      <c r="CY279" s="2">
        <f t="shared" si="347"/>
        <v>0</v>
      </c>
      <c r="CZ279" s="108" t="s">
        <v>571</v>
      </c>
    </row>
    <row r="280" spans="1:104">
      <c r="A280" s="82">
        <v>501</v>
      </c>
      <c r="B280" s="4" t="s">
        <v>63</v>
      </c>
      <c r="C280" s="4" t="s">
        <v>906</v>
      </c>
      <c r="D280" s="1">
        <v>12994.1</v>
      </c>
      <c r="E280" s="1">
        <v>0</v>
      </c>
      <c r="F280" s="1">
        <f t="shared" si="351"/>
        <v>12994.1</v>
      </c>
      <c r="G280" s="1">
        <v>12824.5</v>
      </c>
      <c r="H280" s="1">
        <v>0</v>
      </c>
      <c r="I280" s="1">
        <f t="shared" si="314"/>
        <v>12824.5</v>
      </c>
      <c r="J280" s="1">
        <f t="shared" si="316"/>
        <v>13092</v>
      </c>
      <c r="K280" s="1">
        <f>IF(ISNA(VLOOKUP($CZ280,'Audit Values'!$A$2:$AE$439,2,FALSE)),'Preliminary SO66'!B277,VLOOKUP($CZ280,'Audit Values'!$A$2:$AE$439,31,FALSE))</f>
        <v>12857.2</v>
      </c>
      <c r="L280" s="1">
        <f t="shared" si="317"/>
        <v>12891.9</v>
      </c>
      <c r="M280" s="1">
        <f>IF(ISNA(VLOOKUP($CZ280,'Audit Values'!$A$2:$AE$439,2,FALSE)),'Preliminary SO66'!Z277,VLOOKUP($CZ280,'Audit Values'!$A$2:$AE$439,26,FALSE))</f>
        <v>0</v>
      </c>
      <c r="N280" s="1">
        <f t="shared" si="318"/>
        <v>12891.9</v>
      </c>
      <c r="O280" s="1">
        <f>IF(ISNA(VLOOKUP($CZ280,'Audit Values'!$A$2:$AE$439,2,FALSE)),'Preliminary SO66'!C277,IF(VLOOKUP($CZ280,'Audit Values'!$A$2:$AE$439,28,FALSE)="",VLOOKUP($CZ280,'Audit Values'!$A$2:$AE$439,3,FALSE),VLOOKUP($CZ280,'Audit Values'!$A$2:$AE$439,28,FALSE)))</f>
        <v>100</v>
      </c>
      <c r="P280" s="109">
        <f t="shared" si="319"/>
        <v>12957.2</v>
      </c>
      <c r="Q280" s="110">
        <f t="shared" si="320"/>
        <v>13192</v>
      </c>
      <c r="R280" s="111">
        <f t="shared" si="321"/>
        <v>13192</v>
      </c>
      <c r="S280" s="1">
        <f t="shared" si="322"/>
        <v>12991.9</v>
      </c>
      <c r="T280" s="1">
        <f t="shared" si="348"/>
        <v>234.8</v>
      </c>
      <c r="U280" s="1">
        <f t="shared" si="323"/>
        <v>455.2</v>
      </c>
      <c r="V280" s="1">
        <f t="shared" si="308"/>
        <v>0</v>
      </c>
      <c r="W280" s="1">
        <f t="shared" si="309"/>
        <v>455.2</v>
      </c>
      <c r="X280" s="1">
        <f>IF(ISNA(VLOOKUP($CZ280,'Audit Values'!$A$2:$AE$439,2,FALSE)),'Preliminary SO66'!D277,VLOOKUP($CZ280,'Audit Values'!$A$2:$AE$439,4,FALSE))</f>
        <v>1240.0999999999999</v>
      </c>
      <c r="Y280" s="1">
        <f>ROUND((X280/6)*Weightings!$M$6,1)</f>
        <v>103.3</v>
      </c>
      <c r="Z280" s="1">
        <f>IF(ISNA(VLOOKUP($CZ280,'Audit Values'!$A$2:$AE$439,2,FALSE)),'Preliminary SO66'!F277,VLOOKUP($CZ280,'Audit Values'!$A$2:$AE$439,6,FALSE))</f>
        <v>2216.9</v>
      </c>
      <c r="AA280" s="1">
        <f>ROUND((Z280/6)*Weightings!$M$7,1)</f>
        <v>145.9</v>
      </c>
      <c r="AB280" s="2">
        <f>IF(ISNA(VLOOKUP($CZ280,'Audit Values'!$A$2:$AE$439,2,FALSE)),'Preliminary SO66'!H277,VLOOKUP($CZ280,'Audit Values'!$A$2:$AE$439,8,FALSE))</f>
        <v>9586</v>
      </c>
      <c r="AC280" s="1">
        <f>ROUND(AB280*Weightings!$M$8,1)</f>
        <v>4371.2</v>
      </c>
      <c r="AD280" s="1">
        <f t="shared" si="304"/>
        <v>1006.5</v>
      </c>
      <c r="AE280" s="185">
        <v>639</v>
      </c>
      <c r="AF280" s="1">
        <f>AE280*Weightings!$M$9</f>
        <v>29.7</v>
      </c>
      <c r="AG280" s="1">
        <f>IF(ISNA(VLOOKUP($CZ280,'Audit Values'!$A$2:$AE$439,2,FALSE)),'Preliminary SO66'!L277,VLOOKUP($CZ280,'Audit Values'!$A$2:$AE$439,12,FALSE))</f>
        <v>380.7</v>
      </c>
      <c r="AH280" s="1">
        <f>ROUND(AG280*Weightings!$M$10,1)</f>
        <v>95.2</v>
      </c>
      <c r="AI280" s="1">
        <f>IF(ISNA(VLOOKUP($CZ280,'Audit Values'!$A$2:$AE$439,2,FALSE)),'Preliminary SO66'!O277,VLOOKUP($CZ280,'Audit Values'!$A$2:$AE$439,15,FALSE))</f>
        <v>1568</v>
      </c>
      <c r="AJ280" s="1">
        <f t="shared" si="324"/>
        <v>239</v>
      </c>
      <c r="AK280" s="1">
        <f>CC280/Weightings!$M$5</f>
        <v>0</v>
      </c>
      <c r="AL280" s="1">
        <f>CD280/Weightings!$M$5</f>
        <v>0</v>
      </c>
      <c r="AM280" s="1">
        <f>CH280/Weightings!$M$5</f>
        <v>0</v>
      </c>
      <c r="AN280" s="1">
        <f t="shared" si="310"/>
        <v>246.5</v>
      </c>
      <c r="AO280" s="1">
        <f>IF(ISNA(VLOOKUP($CZ280,'Audit Values'!$A$2:$AE$439,2,FALSE)),'Preliminary SO66'!X277,VLOOKUP($CZ280,'Audit Values'!$A$2:$AE$439,24,FALSE))</f>
        <v>2</v>
      </c>
      <c r="AP280" s="188">
        <v>15171026</v>
      </c>
      <c r="AQ280" s="113">
        <f>AP280/Weightings!$M$5</f>
        <v>3952.8</v>
      </c>
      <c r="AR280" s="113">
        <f t="shared" si="325"/>
        <v>19686.400000000001</v>
      </c>
      <c r="AS280" s="1">
        <f t="shared" si="326"/>
        <v>23639.200000000001</v>
      </c>
      <c r="AT280" s="1">
        <f t="shared" si="327"/>
        <v>23639.200000000001</v>
      </c>
      <c r="AU280" s="2">
        <f t="shared" si="341"/>
        <v>645000</v>
      </c>
      <c r="AV280" s="82">
        <f>IF(ISNA(VLOOKUP($CZ280,'Audit Values'!$A$2:$AC$360,2,FALSE)),"",IF(AND(Weightings!H280&gt;0,VLOOKUP($CZ280,'Audit Values'!$A$2:$AC$360,29,FALSE)&lt;Weightings!H280),Weightings!H280,VLOOKUP($CZ280,'Audit Values'!$A$2:$AC$360,29,FALSE)))</f>
        <v>10</v>
      </c>
      <c r="AW280" s="82" t="str">
        <f>IF(ISNA(VLOOKUP($CZ280,'Audit Values'!$A$2:$AD$360,2,FALSE)),"",VLOOKUP($CZ280,'Audit Values'!$A$2:$AD$360,30,FALSE))</f>
        <v>A</v>
      </c>
      <c r="AX280" s="82" t="str">
        <f>IF(Weightings!G280="","",IF(Weightings!I280="Pending","PX","R"))</f>
        <v>R</v>
      </c>
      <c r="AY280" s="114">
        <f>AR280*Weightings!$M$5+AU280</f>
        <v>76201403</v>
      </c>
      <c r="AZ280" s="2">
        <f>AT280*Weightings!$M$5+AU280</f>
        <v>91372250</v>
      </c>
      <c r="BA280" s="2">
        <f>IF(Weightings!G280&gt;0,Weightings!G280,'Preliminary SO66'!AB277)</f>
        <v>93539373</v>
      </c>
      <c r="BB280" s="2">
        <f t="shared" si="328"/>
        <v>91372250</v>
      </c>
      <c r="BC280" s="124"/>
      <c r="BD280" s="124">
        <f>Weightings!E280</f>
        <v>-2874</v>
      </c>
      <c r="BE280" s="124">
        <f>Weightings!F280</f>
        <v>0</v>
      </c>
      <c r="BF280" s="2">
        <f t="shared" si="329"/>
        <v>-2874</v>
      </c>
      <c r="BG280" s="2">
        <f t="shared" si="330"/>
        <v>91369376</v>
      </c>
      <c r="BH280" s="2">
        <f>MAX(ROUND(((AR280-AO280)*4433)+AP280,0),ROUND(((AR280-AO280)*4433)+Weightings!B280,0))</f>
        <v>102431971</v>
      </c>
      <c r="BI280" s="174">
        <v>0.3</v>
      </c>
      <c r="BJ280" s="2">
        <f t="shared" si="298"/>
        <v>30729591</v>
      </c>
      <c r="BK280" s="173">
        <v>30991713</v>
      </c>
      <c r="BL280" s="2">
        <f t="shared" si="303"/>
        <v>30729591</v>
      </c>
      <c r="BM280" s="3">
        <f t="shared" si="315"/>
        <v>0.3</v>
      </c>
      <c r="BN280" s="1">
        <f t="shared" si="331"/>
        <v>0</v>
      </c>
      <c r="BO280" s="4" t="b">
        <f t="shared" si="332"/>
        <v>0</v>
      </c>
      <c r="BP280" s="5">
        <f t="shared" si="333"/>
        <v>0</v>
      </c>
      <c r="BQ280" s="6">
        <f t="shared" si="306"/>
        <v>0</v>
      </c>
      <c r="BR280" s="4">
        <f t="shared" si="334"/>
        <v>0</v>
      </c>
      <c r="BS280" s="4" t="b">
        <f t="shared" si="335"/>
        <v>0</v>
      </c>
      <c r="BT280" s="4">
        <f t="shared" si="336"/>
        <v>0</v>
      </c>
      <c r="BU280" s="6">
        <f t="shared" si="307"/>
        <v>0</v>
      </c>
      <c r="BV280" s="1">
        <f t="shared" si="337"/>
        <v>0</v>
      </c>
      <c r="BW280" s="1">
        <f t="shared" si="338"/>
        <v>455.2</v>
      </c>
      <c r="BX280" s="116">
        <v>35</v>
      </c>
      <c r="BY280" s="7">
        <f t="shared" si="342"/>
        <v>44.8</v>
      </c>
      <c r="BZ280" s="7">
        <f>IF(ROUND((Weightings!$P$5*BY280^Weightings!$P$6*Weightings!$P$8 ),2)&lt;Weightings!$P$7,Weightings!$P$7,ROUND((Weightings!$P$5*BY280^Weightings!$P$6*Weightings!$P$8 ),2))</f>
        <v>585</v>
      </c>
      <c r="CA280" s="8">
        <f>ROUND(BZ280/Weightings!$M$5,4)</f>
        <v>0.15240000000000001</v>
      </c>
      <c r="CB280" s="1">
        <f t="shared" si="343"/>
        <v>239</v>
      </c>
      <c r="CC280" s="173">
        <v>0</v>
      </c>
      <c r="CD280" s="173">
        <v>0</v>
      </c>
      <c r="CE280" s="173">
        <v>0</v>
      </c>
      <c r="CF280" s="177">
        <v>0</v>
      </c>
      <c r="CG280" s="2">
        <f>AS280*Weightings!$M$5*CF280</f>
        <v>0</v>
      </c>
      <c r="CH280" s="2">
        <f t="shared" si="305"/>
        <v>0</v>
      </c>
      <c r="CI280" s="117">
        <f t="shared" si="339"/>
        <v>0.73799999999999999</v>
      </c>
      <c r="CJ280" s="4">
        <f t="shared" si="340"/>
        <v>371.2</v>
      </c>
      <c r="CK280" s="1">
        <f t="shared" si="344"/>
        <v>1006.5</v>
      </c>
      <c r="CL280" s="1">
        <f t="shared" si="345"/>
        <v>1006.5</v>
      </c>
      <c r="CM280" s="1">
        <f t="shared" si="346"/>
        <v>0</v>
      </c>
      <c r="CN280" s="1">
        <f>IF(ISNA(VLOOKUP($CZ280,'Audit Values'!$A$2:$AE$439,2,FALSE)),'Preliminary SO66'!T277,VLOOKUP($CZ280,'Audit Values'!$A$2:$AE$439,20,FALSE))</f>
        <v>234.8</v>
      </c>
      <c r="CO280" s="1">
        <f t="shared" si="311"/>
        <v>246.5</v>
      </c>
      <c r="CP280" s="183">
        <v>0</v>
      </c>
      <c r="CQ280" s="1">
        <f t="shared" si="312"/>
        <v>0</v>
      </c>
      <c r="CR280" s="2">
        <f>IF(ISNA(VLOOKUP($CZ280,'Audit Values'!$A$2:$AE$439,2,FALSE)),'Preliminary SO66'!V277,VLOOKUP($CZ280,'Audit Values'!$A$2:$AE$439,22,FALSE))</f>
        <v>0</v>
      </c>
      <c r="CS280" s="1">
        <f t="shared" si="313"/>
        <v>0</v>
      </c>
      <c r="CT280" s="2">
        <f>IF(ISNA(VLOOKUP($CZ280,'Audit Values'!$A$2:$AE$439,2,FALSE)),'Preliminary SO66'!W277,VLOOKUP($CZ280,'Audit Values'!$A$2:$AE$439,23,FALSE))</f>
        <v>0</v>
      </c>
      <c r="CU280" s="1">
        <f t="shared" si="349"/>
        <v>0</v>
      </c>
      <c r="CV280" s="1">
        <f t="shared" si="350"/>
        <v>246.5</v>
      </c>
      <c r="CW280" s="176">
        <v>645000</v>
      </c>
      <c r="CX280" s="2">
        <f>IF(CW280&gt;0,Weightings!$M$11*AR280,0)</f>
        <v>4921600</v>
      </c>
      <c r="CY280" s="2">
        <f t="shared" si="347"/>
        <v>645000</v>
      </c>
      <c r="CZ280" s="108" t="s">
        <v>572</v>
      </c>
    </row>
    <row r="281" spans="1:104">
      <c r="A281" s="82">
        <v>502</v>
      </c>
      <c r="B281" s="4" t="s">
        <v>64</v>
      </c>
      <c r="C281" s="4" t="s">
        <v>907</v>
      </c>
      <c r="D281" s="1">
        <v>99</v>
      </c>
      <c r="E281" s="1">
        <v>0</v>
      </c>
      <c r="F281" s="1">
        <f t="shared" si="351"/>
        <v>99</v>
      </c>
      <c r="G281" s="1">
        <v>102.5</v>
      </c>
      <c r="H281" s="1">
        <v>0</v>
      </c>
      <c r="I281" s="1">
        <f t="shared" si="314"/>
        <v>102.5</v>
      </c>
      <c r="J281" s="1">
        <f t="shared" si="316"/>
        <v>99</v>
      </c>
      <c r="K281" s="1">
        <f>IF(ISNA(VLOOKUP($CZ281,'Audit Values'!$A$2:$AE$439,2,FALSE)),'Preliminary SO66'!B278,VLOOKUP($CZ281,'Audit Values'!$A$2:$AE$439,31,FALSE))</f>
        <v>99</v>
      </c>
      <c r="L281" s="1">
        <f t="shared" si="317"/>
        <v>102.5</v>
      </c>
      <c r="M281" s="1">
        <f>IF(ISNA(VLOOKUP($CZ281,'Audit Values'!$A$2:$AE$439,2,FALSE)),'Preliminary SO66'!Z278,VLOOKUP($CZ281,'Audit Values'!$A$2:$AE$439,26,FALSE))</f>
        <v>0</v>
      </c>
      <c r="N281" s="1">
        <f t="shared" si="318"/>
        <v>102.5</v>
      </c>
      <c r="O281" s="1">
        <f>IF(ISNA(VLOOKUP($CZ281,'Audit Values'!$A$2:$AE$439,2,FALSE)),'Preliminary SO66'!C278,IF(VLOOKUP($CZ281,'Audit Values'!$A$2:$AE$439,28,FALSE)="",VLOOKUP($CZ281,'Audit Values'!$A$2:$AE$439,3,FALSE),VLOOKUP($CZ281,'Audit Values'!$A$2:$AE$439,28,FALSE)))</f>
        <v>1</v>
      </c>
      <c r="P281" s="109">
        <f t="shared" si="319"/>
        <v>100</v>
      </c>
      <c r="Q281" s="110">
        <f t="shared" si="320"/>
        <v>100</v>
      </c>
      <c r="R281" s="111">
        <f t="shared" si="321"/>
        <v>100</v>
      </c>
      <c r="S281" s="1">
        <f t="shared" si="322"/>
        <v>103.5</v>
      </c>
      <c r="T281" s="1">
        <f t="shared" si="348"/>
        <v>0</v>
      </c>
      <c r="U281" s="1">
        <f t="shared" si="323"/>
        <v>104</v>
      </c>
      <c r="V281" s="1">
        <f t="shared" si="308"/>
        <v>104</v>
      </c>
      <c r="W281" s="1">
        <f t="shared" si="309"/>
        <v>0</v>
      </c>
      <c r="X281" s="1">
        <f>IF(ISNA(VLOOKUP($CZ281,'Audit Values'!$A$2:$AE$439,2,FALSE)),'Preliminary SO66'!D278,VLOOKUP($CZ281,'Audit Values'!$A$2:$AE$439,4,FALSE))</f>
        <v>6.7</v>
      </c>
      <c r="Y281" s="1">
        <f>ROUND((X281/6)*Weightings!$M$6,1)</f>
        <v>0.6</v>
      </c>
      <c r="Z281" s="1">
        <f>IF(ISNA(VLOOKUP($CZ281,'Audit Values'!$A$2:$AE$439,2,FALSE)),'Preliminary SO66'!F278,VLOOKUP($CZ281,'Audit Values'!$A$2:$AE$439,6,FALSE))</f>
        <v>18.3</v>
      </c>
      <c r="AA281" s="1">
        <f>ROUND((Z281/6)*Weightings!$M$7,1)</f>
        <v>1.2</v>
      </c>
      <c r="AB281" s="2">
        <f>IF(ISNA(VLOOKUP($CZ281,'Audit Values'!$A$2:$AE$439,2,FALSE)),'Preliminary SO66'!H278,VLOOKUP($CZ281,'Audit Values'!$A$2:$AE$439,8,FALSE))</f>
        <v>36</v>
      </c>
      <c r="AC281" s="1">
        <f>ROUND(AB281*Weightings!$M$8,1)</f>
        <v>16.399999999999999</v>
      </c>
      <c r="AD281" s="1">
        <f t="shared" si="304"/>
        <v>0</v>
      </c>
      <c r="AE281" s="185">
        <v>5</v>
      </c>
      <c r="AF281" s="1">
        <f>AE281*Weightings!$M$9</f>
        <v>0.2</v>
      </c>
      <c r="AG281" s="1">
        <f>IF(ISNA(VLOOKUP($CZ281,'Audit Values'!$A$2:$AE$439,2,FALSE)),'Preliminary SO66'!L278,VLOOKUP($CZ281,'Audit Values'!$A$2:$AE$439,12,FALSE))</f>
        <v>0</v>
      </c>
      <c r="AH281" s="1">
        <f>ROUND(AG281*Weightings!$M$10,1)</f>
        <v>0</v>
      </c>
      <c r="AI281" s="1">
        <f>IF(ISNA(VLOOKUP($CZ281,'Audit Values'!$A$2:$AE$439,2,FALSE)),'Preliminary SO66'!O278,VLOOKUP($CZ281,'Audit Values'!$A$2:$AE$439,15,FALSE))</f>
        <v>40</v>
      </c>
      <c r="AJ281" s="1">
        <f t="shared" si="324"/>
        <v>15.4</v>
      </c>
      <c r="AK281" s="1">
        <f>CC281/Weightings!$M$5</f>
        <v>0</v>
      </c>
      <c r="AL281" s="1">
        <f>CD281/Weightings!$M$5</f>
        <v>0</v>
      </c>
      <c r="AM281" s="1">
        <f>CH281/Weightings!$M$5</f>
        <v>0</v>
      </c>
      <c r="AN281" s="1">
        <f t="shared" si="310"/>
        <v>0</v>
      </c>
      <c r="AO281" s="1">
        <f>IF(ISNA(VLOOKUP($CZ281,'Audit Values'!$A$2:$AE$439,2,FALSE)),'Preliminary SO66'!X278,VLOOKUP($CZ281,'Audit Values'!$A$2:$AE$439,24,FALSE))</f>
        <v>0</v>
      </c>
      <c r="AP281" s="188">
        <v>121364</v>
      </c>
      <c r="AQ281" s="113">
        <f>AP281/Weightings!$M$5</f>
        <v>31.6</v>
      </c>
      <c r="AR281" s="113">
        <f t="shared" si="325"/>
        <v>241.3</v>
      </c>
      <c r="AS281" s="1">
        <f t="shared" si="326"/>
        <v>272.89999999999998</v>
      </c>
      <c r="AT281" s="1">
        <f t="shared" si="327"/>
        <v>272.89999999999998</v>
      </c>
      <c r="AU281" s="2">
        <f t="shared" si="341"/>
        <v>0</v>
      </c>
      <c r="AV281" s="82">
        <f>IF(ISNA(VLOOKUP($CZ281,'Audit Values'!$A$2:$AC$360,2,FALSE)),"",IF(AND(Weightings!H281&gt;0,VLOOKUP($CZ281,'Audit Values'!$A$2:$AC$360,29,FALSE)&lt;Weightings!H281),Weightings!H281,VLOOKUP($CZ281,'Audit Values'!$A$2:$AC$360,29,FALSE)))</f>
        <v>12</v>
      </c>
      <c r="AW281" s="82" t="str">
        <f>IF(ISNA(VLOOKUP($CZ281,'Audit Values'!$A$2:$AD$360,2,FALSE)),"",VLOOKUP($CZ281,'Audit Values'!$A$2:$AD$360,30,FALSE))</f>
        <v>A</v>
      </c>
      <c r="AX281" s="82" t="str">
        <f>IF(Weightings!G281="","",IF(Weightings!I281="Pending","PX","R"))</f>
        <v/>
      </c>
      <c r="AY281" s="114">
        <f>AR281*Weightings!$M$5+AU281</f>
        <v>926109</v>
      </c>
      <c r="AZ281" s="2">
        <f>AT281*Weightings!$M$5+AU281</f>
        <v>1047390</v>
      </c>
      <c r="BA281" s="2">
        <f>IF(Weightings!G281&gt;0,Weightings!G281,'Preliminary SO66'!AB278)</f>
        <v>1169055</v>
      </c>
      <c r="BB281" s="2">
        <f t="shared" si="328"/>
        <v>1047390</v>
      </c>
      <c r="BC281" s="124"/>
      <c r="BD281" s="124">
        <f>Weightings!E281</f>
        <v>0</v>
      </c>
      <c r="BE281" s="124">
        <f>Weightings!F281</f>
        <v>0</v>
      </c>
      <c r="BF281" s="2">
        <f t="shared" si="329"/>
        <v>0</v>
      </c>
      <c r="BG281" s="2">
        <f t="shared" si="330"/>
        <v>1047390</v>
      </c>
      <c r="BH281" s="2">
        <f>MAX(ROUND(((AR281-AO281)*4433)+AP281,0),ROUND(((AR281-AO281)*4433)+Weightings!B281,0))</f>
        <v>1193110</v>
      </c>
      <c r="BI281" s="174">
        <v>0.3</v>
      </c>
      <c r="BJ281" s="2">
        <f t="shared" ref="BJ281:BJ290" si="352">BH281*BI281</f>
        <v>357933</v>
      </c>
      <c r="BK281" s="173">
        <v>350000</v>
      </c>
      <c r="BL281" s="2">
        <f t="shared" si="303"/>
        <v>350000</v>
      </c>
      <c r="BM281" s="3">
        <f t="shared" si="315"/>
        <v>0.29339999999999999</v>
      </c>
      <c r="BN281" s="1">
        <f t="shared" si="331"/>
        <v>0</v>
      </c>
      <c r="BO281" s="4" t="b">
        <f t="shared" si="332"/>
        <v>1</v>
      </c>
      <c r="BP281" s="5">
        <f t="shared" si="333"/>
        <v>33.792999999999999</v>
      </c>
      <c r="BQ281" s="6">
        <f t="shared" si="306"/>
        <v>1.0050539999999999</v>
      </c>
      <c r="BR281" s="4">
        <f t="shared" si="334"/>
        <v>104</v>
      </c>
      <c r="BS281" s="4" t="b">
        <f t="shared" si="335"/>
        <v>0</v>
      </c>
      <c r="BT281" s="4">
        <f t="shared" si="336"/>
        <v>0</v>
      </c>
      <c r="BU281" s="6">
        <f t="shared" si="307"/>
        <v>0</v>
      </c>
      <c r="BV281" s="1">
        <f t="shared" si="337"/>
        <v>0</v>
      </c>
      <c r="BW281" s="1">
        <f t="shared" si="338"/>
        <v>0</v>
      </c>
      <c r="BX281" s="116">
        <v>223.8</v>
      </c>
      <c r="BY281" s="7">
        <f t="shared" si="342"/>
        <v>0.18</v>
      </c>
      <c r="BZ281" s="7">
        <f>IF(ROUND((Weightings!$P$5*BY281^Weightings!$P$6*Weightings!$P$8 ),2)&lt;Weightings!$P$7,Weightings!$P$7,ROUND((Weightings!$P$5*BY281^Weightings!$P$6*Weightings!$P$8 ),2))</f>
        <v>1482</v>
      </c>
      <c r="CA281" s="8">
        <f>ROUND(BZ281/Weightings!$M$5,4)</f>
        <v>0.3861</v>
      </c>
      <c r="CB281" s="1">
        <f t="shared" si="343"/>
        <v>15.4</v>
      </c>
      <c r="CC281" s="173">
        <v>0</v>
      </c>
      <c r="CD281" s="173">
        <v>0</v>
      </c>
      <c r="CE281" s="173">
        <v>0</v>
      </c>
      <c r="CF281" s="177">
        <v>0</v>
      </c>
      <c r="CG281" s="2">
        <f>AS281*Weightings!$M$5*CF281</f>
        <v>0</v>
      </c>
      <c r="CH281" s="2">
        <f t="shared" si="305"/>
        <v>0</v>
      </c>
      <c r="CI281" s="117">
        <f t="shared" si="339"/>
        <v>0.34799999999999998</v>
      </c>
      <c r="CJ281" s="4">
        <f t="shared" si="340"/>
        <v>0.5</v>
      </c>
      <c r="CK281" s="1">
        <f t="shared" si="344"/>
        <v>0</v>
      </c>
      <c r="CL281" s="1">
        <f t="shared" si="345"/>
        <v>0</v>
      </c>
      <c r="CM281" s="1">
        <f t="shared" si="346"/>
        <v>0</v>
      </c>
      <c r="CN281" s="1">
        <f>IF(ISNA(VLOOKUP($CZ281,'Audit Values'!$A$2:$AE$439,2,FALSE)),'Preliminary SO66'!T278,VLOOKUP($CZ281,'Audit Values'!$A$2:$AE$439,20,FALSE))</f>
        <v>0</v>
      </c>
      <c r="CO281" s="1">
        <f t="shared" si="311"/>
        <v>0</v>
      </c>
      <c r="CP281" s="183">
        <v>0</v>
      </c>
      <c r="CQ281" s="1">
        <f t="shared" si="312"/>
        <v>0</v>
      </c>
      <c r="CR281" s="2">
        <f>IF(ISNA(VLOOKUP($CZ281,'Audit Values'!$A$2:$AE$439,2,FALSE)),'Preliminary SO66'!V278,VLOOKUP($CZ281,'Audit Values'!$A$2:$AE$439,22,FALSE))</f>
        <v>0</v>
      </c>
      <c r="CS281" s="1">
        <f t="shared" si="313"/>
        <v>0</v>
      </c>
      <c r="CT281" s="2">
        <f>IF(ISNA(VLOOKUP($CZ281,'Audit Values'!$A$2:$AE$439,2,FALSE)),'Preliminary SO66'!W278,VLOOKUP($CZ281,'Audit Values'!$A$2:$AE$439,23,FALSE))</f>
        <v>0</v>
      </c>
      <c r="CU281" s="1">
        <f t="shared" si="349"/>
        <v>0</v>
      </c>
      <c r="CV281" s="1">
        <f t="shared" si="350"/>
        <v>0</v>
      </c>
      <c r="CW281" s="176">
        <v>0</v>
      </c>
      <c r="CX281" s="2">
        <f>IF(CW281&gt;0,Weightings!$M$11*AR281,0)</f>
        <v>0</v>
      </c>
      <c r="CY281" s="2">
        <f t="shared" si="347"/>
        <v>0</v>
      </c>
      <c r="CZ281" s="108" t="s">
        <v>573</v>
      </c>
    </row>
    <row r="282" spans="1:104">
      <c r="A282" s="82">
        <v>503</v>
      </c>
      <c r="B282" s="4" t="s">
        <v>110</v>
      </c>
      <c r="C282" s="4" t="s">
        <v>908</v>
      </c>
      <c r="D282" s="1">
        <v>1186.7</v>
      </c>
      <c r="E282" s="1">
        <v>0</v>
      </c>
      <c r="F282" s="1">
        <f t="shared" si="351"/>
        <v>1186.7</v>
      </c>
      <c r="G282" s="1">
        <v>1182.8</v>
      </c>
      <c r="H282" s="1">
        <v>0</v>
      </c>
      <c r="I282" s="1">
        <f t="shared" si="314"/>
        <v>1182.8</v>
      </c>
      <c r="J282" s="1">
        <f t="shared" si="316"/>
        <v>1229.4000000000001</v>
      </c>
      <c r="K282" s="1">
        <f>IF(ISNA(VLOOKUP($CZ282,'Audit Values'!$A$2:$AE$439,2,FALSE)),'Preliminary SO66'!B279,VLOOKUP($CZ282,'Audit Values'!$A$2:$AE$439,31,FALSE))</f>
        <v>1229.4000000000001</v>
      </c>
      <c r="L282" s="1">
        <f t="shared" si="317"/>
        <v>1229.4000000000001</v>
      </c>
      <c r="M282" s="1">
        <f>IF(ISNA(VLOOKUP($CZ282,'Audit Values'!$A$2:$AE$439,2,FALSE)),'Preliminary SO66'!Z279,VLOOKUP($CZ282,'Audit Values'!$A$2:$AE$439,26,FALSE))</f>
        <v>0</v>
      </c>
      <c r="N282" s="1">
        <f t="shared" si="318"/>
        <v>1229.4000000000001</v>
      </c>
      <c r="O282" s="1">
        <f>IF(ISNA(VLOOKUP($CZ282,'Audit Values'!$A$2:$AE$439,2,FALSE)),'Preliminary SO66'!C279,IF(VLOOKUP($CZ282,'Audit Values'!$A$2:$AE$439,28,FALSE)="",VLOOKUP($CZ282,'Audit Values'!$A$2:$AE$439,3,FALSE),VLOOKUP($CZ282,'Audit Values'!$A$2:$AE$439,28,FALSE)))</f>
        <v>12</v>
      </c>
      <c r="P282" s="109">
        <f t="shared" si="319"/>
        <v>1241.4000000000001</v>
      </c>
      <c r="Q282" s="110">
        <f t="shared" si="320"/>
        <v>1241.4000000000001</v>
      </c>
      <c r="R282" s="111">
        <f t="shared" si="321"/>
        <v>1241.4000000000001</v>
      </c>
      <c r="S282" s="1">
        <f t="shared" si="322"/>
        <v>1241.4000000000001</v>
      </c>
      <c r="T282" s="1">
        <f t="shared" si="348"/>
        <v>0</v>
      </c>
      <c r="U282" s="1">
        <f t="shared" si="323"/>
        <v>204</v>
      </c>
      <c r="V282" s="1">
        <f t="shared" si="308"/>
        <v>204</v>
      </c>
      <c r="W282" s="1">
        <f t="shared" si="309"/>
        <v>0</v>
      </c>
      <c r="X282" s="1">
        <f>IF(ISNA(VLOOKUP($CZ282,'Audit Values'!$A$2:$AE$439,2,FALSE)),'Preliminary SO66'!D279,VLOOKUP($CZ282,'Audit Values'!$A$2:$AE$439,4,FALSE))</f>
        <v>279.7</v>
      </c>
      <c r="Y282" s="1">
        <f>ROUND((X282/6)*Weightings!$M$6,1)</f>
        <v>23.3</v>
      </c>
      <c r="Z282" s="1">
        <f>IF(ISNA(VLOOKUP($CZ282,'Audit Values'!$A$2:$AE$439,2,FALSE)),'Preliminary SO66'!F279,VLOOKUP($CZ282,'Audit Values'!$A$2:$AE$439,6,FALSE))</f>
        <v>0</v>
      </c>
      <c r="AA282" s="1">
        <f>ROUND((Z282/6)*Weightings!$M$7,1)</f>
        <v>0</v>
      </c>
      <c r="AB282" s="2">
        <f>IF(ISNA(VLOOKUP($CZ282,'Audit Values'!$A$2:$AE$439,2,FALSE)),'Preliminary SO66'!H279,VLOOKUP($CZ282,'Audit Values'!$A$2:$AE$439,8,FALSE))</f>
        <v>773</v>
      </c>
      <c r="AC282" s="1">
        <f>ROUND(AB282*Weightings!$M$8,1)</f>
        <v>352.5</v>
      </c>
      <c r="AD282" s="1">
        <f t="shared" si="304"/>
        <v>81.2</v>
      </c>
      <c r="AE282" s="185">
        <v>30</v>
      </c>
      <c r="AF282" s="1">
        <f>AE282*Weightings!$M$9</f>
        <v>1.4</v>
      </c>
      <c r="AG282" s="1">
        <f>IF(ISNA(VLOOKUP($CZ282,'Audit Values'!$A$2:$AE$439,2,FALSE)),'Preliminary SO66'!L279,VLOOKUP($CZ282,'Audit Values'!$A$2:$AE$439,12,FALSE))</f>
        <v>0</v>
      </c>
      <c r="AH282" s="1">
        <f>ROUND(AG282*Weightings!$M$10,1)</f>
        <v>0</v>
      </c>
      <c r="AI282" s="1">
        <f>IF(ISNA(VLOOKUP($CZ282,'Audit Values'!$A$2:$AE$439,2,FALSE)),'Preliminary SO66'!O279,VLOOKUP($CZ282,'Audit Values'!$A$2:$AE$439,15,FALSE))</f>
        <v>15</v>
      </c>
      <c r="AJ282" s="1">
        <f t="shared" si="324"/>
        <v>5.2</v>
      </c>
      <c r="AK282" s="1">
        <f>CC282/Weightings!$M$5</f>
        <v>0</v>
      </c>
      <c r="AL282" s="1">
        <f>CD282/Weightings!$M$5</f>
        <v>0</v>
      </c>
      <c r="AM282" s="1">
        <f>CH282/Weightings!$M$5</f>
        <v>0</v>
      </c>
      <c r="AN282" s="1">
        <f t="shared" si="310"/>
        <v>0</v>
      </c>
      <c r="AO282" s="1">
        <f>IF(ISNA(VLOOKUP($CZ282,'Audit Values'!$A$2:$AE$439,2,FALSE)),'Preliminary SO66'!X279,VLOOKUP($CZ282,'Audit Values'!$A$2:$AE$439,24,FALSE))</f>
        <v>0</v>
      </c>
      <c r="AP282" s="188">
        <v>1086663</v>
      </c>
      <c r="AQ282" s="113">
        <f>AP282/Weightings!$M$5</f>
        <v>283.10000000000002</v>
      </c>
      <c r="AR282" s="113">
        <f t="shared" si="325"/>
        <v>1909</v>
      </c>
      <c r="AS282" s="1">
        <f t="shared" si="326"/>
        <v>2192.1</v>
      </c>
      <c r="AT282" s="1">
        <f t="shared" si="327"/>
        <v>2192.1</v>
      </c>
      <c r="AU282" s="2">
        <f t="shared" si="341"/>
        <v>0</v>
      </c>
      <c r="AV282" s="82">
        <f>IF(ISNA(VLOOKUP($CZ282,'Audit Values'!$A$2:$AC$360,2,FALSE)),"",IF(AND(Weightings!H282&gt;0,VLOOKUP($CZ282,'Audit Values'!$A$2:$AC$360,29,FALSE)&lt;Weightings!H282),Weightings!H282,VLOOKUP($CZ282,'Audit Values'!$A$2:$AC$360,29,FALSE)))</f>
        <v>3</v>
      </c>
      <c r="AW282" s="82" t="str">
        <f>IF(ISNA(VLOOKUP($CZ282,'Audit Values'!$A$2:$AD$360,2,FALSE)),"",VLOOKUP($CZ282,'Audit Values'!$A$2:$AD$360,30,FALSE))</f>
        <v>A</v>
      </c>
      <c r="AX282" s="82" t="str">
        <f>IF(Weightings!G282="","",IF(Weightings!I282="Pending","PX","R"))</f>
        <v/>
      </c>
      <c r="AY282" s="114">
        <f>AR282*Weightings!$M$5+AU282</f>
        <v>7326742</v>
      </c>
      <c r="AZ282" s="2">
        <f>AT282*Weightings!$M$5+AU282</f>
        <v>8413280</v>
      </c>
      <c r="BA282" s="2">
        <f>IF(Weightings!G282&gt;0,Weightings!G282,'Preliminary SO66'!AB279)</f>
        <v>8442065</v>
      </c>
      <c r="BB282" s="2">
        <f t="shared" si="328"/>
        <v>8413280</v>
      </c>
      <c r="BC282" s="124"/>
      <c r="BD282" s="124">
        <f>Weightings!E282</f>
        <v>0</v>
      </c>
      <c r="BE282" s="124">
        <f>Weightings!F282</f>
        <v>0</v>
      </c>
      <c r="BF282" s="2">
        <f t="shared" si="329"/>
        <v>0</v>
      </c>
      <c r="BG282" s="2">
        <f t="shared" si="330"/>
        <v>8413280</v>
      </c>
      <c r="BH282" s="2">
        <f>MAX(ROUND(((AR282-AO282)*4433)+AP282,0),ROUND(((AR282-AO282)*4433)+Weightings!B282,0))</f>
        <v>9740305</v>
      </c>
      <c r="BI282" s="174">
        <v>0.3</v>
      </c>
      <c r="BJ282" s="2">
        <f t="shared" si="352"/>
        <v>2922092</v>
      </c>
      <c r="BK282" s="173">
        <v>2877008</v>
      </c>
      <c r="BL282" s="2">
        <f t="shared" si="303"/>
        <v>2877008</v>
      </c>
      <c r="BM282" s="3">
        <f t="shared" si="315"/>
        <v>0.2954</v>
      </c>
      <c r="BN282" s="1">
        <f t="shared" si="331"/>
        <v>0</v>
      </c>
      <c r="BO282" s="4" t="b">
        <f t="shared" si="332"/>
        <v>0</v>
      </c>
      <c r="BP282" s="5">
        <f t="shared" si="333"/>
        <v>0</v>
      </c>
      <c r="BQ282" s="6">
        <f t="shared" si="306"/>
        <v>0</v>
      </c>
      <c r="BR282" s="4">
        <f t="shared" si="334"/>
        <v>0</v>
      </c>
      <c r="BS282" s="4" t="b">
        <f t="shared" si="335"/>
        <v>1</v>
      </c>
      <c r="BT282" s="4">
        <f t="shared" si="336"/>
        <v>1164.9825000000001</v>
      </c>
      <c r="BU282" s="6">
        <f t="shared" si="307"/>
        <v>0.16434699999999999</v>
      </c>
      <c r="BV282" s="1">
        <f t="shared" si="337"/>
        <v>204</v>
      </c>
      <c r="BW282" s="1">
        <f t="shared" si="338"/>
        <v>0</v>
      </c>
      <c r="BX282" s="116">
        <v>51</v>
      </c>
      <c r="BY282" s="7">
        <f t="shared" si="342"/>
        <v>0.28999999999999998</v>
      </c>
      <c r="BZ282" s="7">
        <f>IF(ROUND((Weightings!$P$5*BY282^Weightings!$P$6*Weightings!$P$8 ),2)&lt;Weightings!$P$7,Weightings!$P$7,ROUND((Weightings!$P$5*BY282^Weightings!$P$6*Weightings!$P$8 ),2))</f>
        <v>1329.23</v>
      </c>
      <c r="CA282" s="8">
        <f>ROUND(BZ282/Weightings!$M$5,4)</f>
        <v>0.3463</v>
      </c>
      <c r="CB282" s="1">
        <f t="shared" si="343"/>
        <v>5.2</v>
      </c>
      <c r="CC282" s="173">
        <v>0</v>
      </c>
      <c r="CD282" s="173">
        <v>0</v>
      </c>
      <c r="CE282" s="173">
        <v>0</v>
      </c>
      <c r="CF282" s="177">
        <v>0</v>
      </c>
      <c r="CG282" s="2">
        <f>AS282*Weightings!$M$5*CF282</f>
        <v>0</v>
      </c>
      <c r="CH282" s="2">
        <f t="shared" si="305"/>
        <v>0</v>
      </c>
      <c r="CI282" s="117">
        <f t="shared" si="339"/>
        <v>0.623</v>
      </c>
      <c r="CJ282" s="4">
        <f t="shared" si="340"/>
        <v>24.3</v>
      </c>
      <c r="CK282" s="1">
        <f t="shared" si="344"/>
        <v>81.2</v>
      </c>
      <c r="CL282" s="1">
        <f t="shared" si="345"/>
        <v>0</v>
      </c>
      <c r="CM282" s="1">
        <f t="shared" si="346"/>
        <v>0</v>
      </c>
      <c r="CN282" s="1">
        <f>IF(ISNA(VLOOKUP($CZ282,'Audit Values'!$A$2:$AE$439,2,FALSE)),'Preliminary SO66'!T279,VLOOKUP($CZ282,'Audit Values'!$A$2:$AE$439,20,FALSE))</f>
        <v>0</v>
      </c>
      <c r="CO282" s="1">
        <f t="shared" si="311"/>
        <v>0</v>
      </c>
      <c r="CP282" s="183">
        <v>0</v>
      </c>
      <c r="CQ282" s="1">
        <f t="shared" si="312"/>
        <v>0</v>
      </c>
      <c r="CR282" s="2">
        <f>IF(ISNA(VLOOKUP($CZ282,'Audit Values'!$A$2:$AE$439,2,FALSE)),'Preliminary SO66'!V279,VLOOKUP($CZ282,'Audit Values'!$A$2:$AE$439,22,FALSE))</f>
        <v>0</v>
      </c>
      <c r="CS282" s="1">
        <f t="shared" si="313"/>
        <v>0</v>
      </c>
      <c r="CT282" s="2">
        <f>IF(ISNA(VLOOKUP($CZ282,'Audit Values'!$A$2:$AE$439,2,FALSE)),'Preliminary SO66'!W279,VLOOKUP($CZ282,'Audit Values'!$A$2:$AE$439,23,FALSE))</f>
        <v>0</v>
      </c>
      <c r="CU282" s="1">
        <f t="shared" si="349"/>
        <v>0</v>
      </c>
      <c r="CV282" s="1">
        <f t="shared" si="350"/>
        <v>0</v>
      </c>
      <c r="CW282" s="176">
        <v>0</v>
      </c>
      <c r="CX282" s="2">
        <f>IF(CW282&gt;0,Weightings!$M$11*AR282,0)</f>
        <v>0</v>
      </c>
      <c r="CY282" s="2">
        <f t="shared" si="347"/>
        <v>0</v>
      </c>
      <c r="CZ282" s="108" t="s">
        <v>574</v>
      </c>
    </row>
    <row r="283" spans="1:104">
      <c r="A283" s="82">
        <v>504</v>
      </c>
      <c r="B283" s="4" t="s">
        <v>110</v>
      </c>
      <c r="C283" s="4" t="s">
        <v>909</v>
      </c>
      <c r="D283" s="1">
        <v>465.5</v>
      </c>
      <c r="E283" s="1">
        <v>0</v>
      </c>
      <c r="F283" s="1">
        <f t="shared" si="351"/>
        <v>465.5</v>
      </c>
      <c r="G283" s="1">
        <v>441</v>
      </c>
      <c r="H283" s="1">
        <v>0</v>
      </c>
      <c r="I283" s="1">
        <f t="shared" si="314"/>
        <v>441</v>
      </c>
      <c r="J283" s="1">
        <f t="shared" si="316"/>
        <v>458.7</v>
      </c>
      <c r="K283" s="1">
        <f>IF(ISNA(VLOOKUP($CZ283,'Audit Values'!$A$2:$AE$439,2,FALSE)),'Preliminary SO66'!B280,VLOOKUP($CZ283,'Audit Values'!$A$2:$AE$439,31,FALSE))</f>
        <v>458.7</v>
      </c>
      <c r="L283" s="1">
        <f t="shared" si="317"/>
        <v>458.7</v>
      </c>
      <c r="M283" s="1">
        <f>IF(ISNA(VLOOKUP($CZ283,'Audit Values'!$A$2:$AE$439,2,FALSE)),'Preliminary SO66'!Z280,VLOOKUP($CZ283,'Audit Values'!$A$2:$AE$439,26,FALSE))</f>
        <v>0</v>
      </c>
      <c r="N283" s="1">
        <f t="shared" si="318"/>
        <v>458.7</v>
      </c>
      <c r="O283" s="1">
        <f>IF(ISNA(VLOOKUP($CZ283,'Audit Values'!$A$2:$AE$439,2,FALSE)),'Preliminary SO66'!C280,IF(VLOOKUP($CZ283,'Audit Values'!$A$2:$AE$439,28,FALSE)="",VLOOKUP($CZ283,'Audit Values'!$A$2:$AE$439,3,FALSE),VLOOKUP($CZ283,'Audit Values'!$A$2:$AE$439,28,FALSE)))</f>
        <v>3.5</v>
      </c>
      <c r="P283" s="109">
        <f t="shared" si="319"/>
        <v>462.2</v>
      </c>
      <c r="Q283" s="110">
        <f t="shared" si="320"/>
        <v>462.2</v>
      </c>
      <c r="R283" s="111">
        <f t="shared" si="321"/>
        <v>462.2</v>
      </c>
      <c r="S283" s="1">
        <f t="shared" si="322"/>
        <v>462.2</v>
      </c>
      <c r="T283" s="1">
        <f t="shared" si="348"/>
        <v>0</v>
      </c>
      <c r="U283" s="1">
        <f t="shared" si="323"/>
        <v>198.3</v>
      </c>
      <c r="V283" s="1">
        <f t="shared" si="308"/>
        <v>198.3</v>
      </c>
      <c r="W283" s="1">
        <f t="shared" si="309"/>
        <v>0</v>
      </c>
      <c r="X283" s="1">
        <f>IF(ISNA(VLOOKUP($CZ283,'Audit Values'!$A$2:$AE$439,2,FALSE)),'Preliminary SO66'!D280,VLOOKUP($CZ283,'Audit Values'!$A$2:$AE$439,4,FALSE))</f>
        <v>59.9</v>
      </c>
      <c r="Y283" s="1">
        <f>ROUND((X283/6)*Weightings!$M$6,1)</f>
        <v>5</v>
      </c>
      <c r="Z283" s="1">
        <f>IF(ISNA(VLOOKUP($CZ283,'Audit Values'!$A$2:$AE$439,2,FALSE)),'Preliminary SO66'!F280,VLOOKUP($CZ283,'Audit Values'!$A$2:$AE$439,6,FALSE))</f>
        <v>0</v>
      </c>
      <c r="AA283" s="1">
        <f>ROUND((Z283/6)*Weightings!$M$7,1)</f>
        <v>0</v>
      </c>
      <c r="AB283" s="2">
        <f>IF(ISNA(VLOOKUP($CZ283,'Audit Values'!$A$2:$AE$439,2,FALSE)),'Preliminary SO66'!H280,VLOOKUP($CZ283,'Audit Values'!$A$2:$AE$439,8,FALSE))</f>
        <v>223</v>
      </c>
      <c r="AC283" s="1">
        <f>ROUND(AB283*Weightings!$M$8,1)</f>
        <v>101.7</v>
      </c>
      <c r="AD283" s="1">
        <f t="shared" si="304"/>
        <v>20.6</v>
      </c>
      <c r="AE283" s="185">
        <v>16</v>
      </c>
      <c r="AF283" s="1">
        <f>AE283*Weightings!$M$9</f>
        <v>0.7</v>
      </c>
      <c r="AG283" s="1">
        <f>IF(ISNA(VLOOKUP($CZ283,'Audit Values'!$A$2:$AE$439,2,FALSE)),'Preliminary SO66'!L280,VLOOKUP($CZ283,'Audit Values'!$A$2:$AE$439,12,FALSE))</f>
        <v>0</v>
      </c>
      <c r="AH283" s="1">
        <f>ROUND(AG283*Weightings!$M$10,1)</f>
        <v>0</v>
      </c>
      <c r="AI283" s="1">
        <f>IF(ISNA(VLOOKUP($CZ283,'Audit Values'!$A$2:$AE$439,2,FALSE)),'Preliminary SO66'!O280,VLOOKUP($CZ283,'Audit Values'!$A$2:$AE$439,15,FALSE))</f>
        <v>17</v>
      </c>
      <c r="AJ283" s="1">
        <f t="shared" si="324"/>
        <v>5.5</v>
      </c>
      <c r="AK283" s="1">
        <f>CC283/Weightings!$M$5</f>
        <v>0</v>
      </c>
      <c r="AL283" s="1">
        <f>CD283/Weightings!$M$5</f>
        <v>0</v>
      </c>
      <c r="AM283" s="1">
        <f>CH283/Weightings!$M$5</f>
        <v>0</v>
      </c>
      <c r="AN283" s="1">
        <f t="shared" si="310"/>
        <v>0</v>
      </c>
      <c r="AO283" s="1">
        <f>IF(ISNA(VLOOKUP($CZ283,'Audit Values'!$A$2:$AE$439,2,FALSE)),'Preliminary SO66'!X280,VLOOKUP($CZ283,'Audit Values'!$A$2:$AE$439,24,FALSE))</f>
        <v>0</v>
      </c>
      <c r="AP283" s="188">
        <v>401749</v>
      </c>
      <c r="AQ283" s="113">
        <f>AP283/Weightings!$M$5</f>
        <v>104.7</v>
      </c>
      <c r="AR283" s="113">
        <f t="shared" si="325"/>
        <v>794</v>
      </c>
      <c r="AS283" s="1">
        <f t="shared" si="326"/>
        <v>898.7</v>
      </c>
      <c r="AT283" s="1">
        <f t="shared" si="327"/>
        <v>898.7</v>
      </c>
      <c r="AU283" s="2">
        <f t="shared" si="341"/>
        <v>0</v>
      </c>
      <c r="AV283" s="82">
        <f>IF(ISNA(VLOOKUP($CZ283,'Audit Values'!$A$2:$AC$360,2,FALSE)),"",IF(AND(Weightings!H283&gt;0,VLOOKUP($CZ283,'Audit Values'!$A$2:$AC$360,29,FALSE)&lt;Weightings!H283),Weightings!H283,VLOOKUP($CZ283,'Audit Values'!$A$2:$AC$360,29,FALSE)))</f>
        <v>21</v>
      </c>
      <c r="AW283" s="82" t="str">
        <f>IF(ISNA(VLOOKUP($CZ283,'Audit Values'!$A$2:$AD$360,2,FALSE)),"",VLOOKUP($CZ283,'Audit Values'!$A$2:$AD$360,30,FALSE))</f>
        <v>A</v>
      </c>
      <c r="AX283" s="82" t="str">
        <f>IF(Weightings!G283="","",IF(Weightings!I283="Pending","PX","R"))</f>
        <v/>
      </c>
      <c r="AY283" s="114">
        <f>AR283*Weightings!$M$5+AU283</f>
        <v>3047372</v>
      </c>
      <c r="AZ283" s="2">
        <f>AT283*Weightings!$M$5+AU283</f>
        <v>3449211</v>
      </c>
      <c r="BA283" s="2">
        <f>IF(Weightings!G283&gt;0,Weightings!G283,'Preliminary SO66'!AB280)</f>
        <v>3556291</v>
      </c>
      <c r="BB283" s="2">
        <f t="shared" si="328"/>
        <v>3449211</v>
      </c>
      <c r="BC283" s="124"/>
      <c r="BD283" s="124">
        <f>Weightings!E283</f>
        <v>0</v>
      </c>
      <c r="BE283" s="124">
        <f>Weightings!F283</f>
        <v>0</v>
      </c>
      <c r="BF283" s="2">
        <f t="shared" si="329"/>
        <v>0</v>
      </c>
      <c r="BG283" s="2">
        <f t="shared" si="330"/>
        <v>3449211</v>
      </c>
      <c r="BH283" s="2">
        <f>MAX(ROUND(((AR283-AO283)*4433)+AP283,0),ROUND(((AR283-AO283)*4433)+Weightings!B283,0))</f>
        <v>3941689</v>
      </c>
      <c r="BI283" s="174">
        <v>0.3</v>
      </c>
      <c r="BJ283" s="2">
        <f t="shared" si="352"/>
        <v>1182507</v>
      </c>
      <c r="BK283" s="173">
        <v>1210895</v>
      </c>
      <c r="BL283" s="2">
        <f t="shared" si="303"/>
        <v>1182507</v>
      </c>
      <c r="BM283" s="3">
        <f t="shared" si="315"/>
        <v>0.3</v>
      </c>
      <c r="BN283" s="1">
        <f t="shared" si="331"/>
        <v>0</v>
      </c>
      <c r="BO283" s="4" t="b">
        <f t="shared" si="332"/>
        <v>0</v>
      </c>
      <c r="BP283" s="5">
        <f t="shared" si="333"/>
        <v>0</v>
      </c>
      <c r="BQ283" s="6">
        <f t="shared" ref="BQ283:BQ290" si="353">IF(BO283=TRUE,ROUND(((7337-BP283)/3642.4)-1,6),0)</f>
        <v>0</v>
      </c>
      <c r="BR283" s="4">
        <f t="shared" si="334"/>
        <v>0</v>
      </c>
      <c r="BS283" s="4" t="b">
        <f t="shared" si="335"/>
        <v>1</v>
      </c>
      <c r="BT283" s="4">
        <f t="shared" si="336"/>
        <v>200.7225</v>
      </c>
      <c r="BU283" s="6">
        <f t="shared" ref="BU283:BU290" si="354">IF(BS283=TRUE,ROUND(((5406-BT283)/3642.4)-1,6),0)</f>
        <v>0.42907899999999999</v>
      </c>
      <c r="BV283" s="1">
        <f t="shared" si="337"/>
        <v>198.3</v>
      </c>
      <c r="BW283" s="1">
        <f t="shared" si="338"/>
        <v>0</v>
      </c>
      <c r="BX283" s="116">
        <v>45</v>
      </c>
      <c r="BY283" s="7">
        <f t="shared" si="342"/>
        <v>0.38</v>
      </c>
      <c r="BZ283" s="7">
        <f>IF(ROUND((Weightings!$P$5*BY283^Weightings!$P$6*Weightings!$P$8 ),2)&lt;Weightings!$P$7,Weightings!$P$7,ROUND((Weightings!$P$5*BY283^Weightings!$P$6*Weightings!$P$8 ),2))</f>
        <v>1249.76</v>
      </c>
      <c r="CA283" s="8">
        <f>ROUND(BZ283/Weightings!$M$5,4)</f>
        <v>0.3256</v>
      </c>
      <c r="CB283" s="1">
        <f t="shared" si="343"/>
        <v>5.5</v>
      </c>
      <c r="CC283" s="173">
        <v>0</v>
      </c>
      <c r="CD283" s="173">
        <v>0</v>
      </c>
      <c r="CE283" s="173">
        <v>0</v>
      </c>
      <c r="CF283" s="177">
        <v>0</v>
      </c>
      <c r="CG283" s="2">
        <f>AS283*Weightings!$M$5*CF283</f>
        <v>0</v>
      </c>
      <c r="CH283" s="2">
        <f t="shared" si="305"/>
        <v>0</v>
      </c>
      <c r="CI283" s="117">
        <f t="shared" si="339"/>
        <v>0.48199999999999998</v>
      </c>
      <c r="CJ283" s="4">
        <f t="shared" si="340"/>
        <v>10.3</v>
      </c>
      <c r="CK283" s="1">
        <f t="shared" si="344"/>
        <v>0</v>
      </c>
      <c r="CL283" s="1">
        <f t="shared" si="345"/>
        <v>0</v>
      </c>
      <c r="CM283" s="1">
        <f t="shared" si="346"/>
        <v>20.6</v>
      </c>
      <c r="CN283" s="1">
        <f>IF(ISNA(VLOOKUP($CZ283,'Audit Values'!$A$2:$AE$439,2,FALSE)),'Preliminary SO66'!T280,VLOOKUP($CZ283,'Audit Values'!$A$2:$AE$439,20,FALSE))</f>
        <v>0</v>
      </c>
      <c r="CO283" s="1">
        <f t="shared" si="311"/>
        <v>0</v>
      </c>
      <c r="CP283" s="183">
        <v>0</v>
      </c>
      <c r="CQ283" s="1">
        <f t="shared" si="312"/>
        <v>0</v>
      </c>
      <c r="CR283" s="2">
        <f>IF(ISNA(VLOOKUP($CZ283,'Audit Values'!$A$2:$AE$439,2,FALSE)),'Preliminary SO66'!V280,VLOOKUP($CZ283,'Audit Values'!$A$2:$AE$439,22,FALSE))</f>
        <v>0</v>
      </c>
      <c r="CS283" s="1">
        <f t="shared" si="313"/>
        <v>0</v>
      </c>
      <c r="CT283" s="2">
        <f>IF(ISNA(VLOOKUP($CZ283,'Audit Values'!$A$2:$AE$439,2,FALSE)),'Preliminary SO66'!W280,VLOOKUP($CZ283,'Audit Values'!$A$2:$AE$439,23,FALSE))</f>
        <v>0</v>
      </c>
      <c r="CU283" s="1">
        <f t="shared" si="349"/>
        <v>0</v>
      </c>
      <c r="CV283" s="1">
        <f t="shared" si="350"/>
        <v>0</v>
      </c>
      <c r="CW283" s="176">
        <v>0</v>
      </c>
      <c r="CX283" s="2">
        <f>IF(CW283&gt;0,Weightings!$M$11*AR283,0)</f>
        <v>0</v>
      </c>
      <c r="CY283" s="2">
        <f t="shared" si="347"/>
        <v>0</v>
      </c>
      <c r="CZ283" s="108" t="s">
        <v>575</v>
      </c>
    </row>
    <row r="284" spans="1:104">
      <c r="A284" s="82">
        <v>505</v>
      </c>
      <c r="B284" s="4" t="s">
        <v>110</v>
      </c>
      <c r="C284" s="4" t="s">
        <v>910</v>
      </c>
      <c r="D284" s="1">
        <v>442</v>
      </c>
      <c r="E284" s="1">
        <v>0</v>
      </c>
      <c r="F284" s="1">
        <f t="shared" si="351"/>
        <v>442</v>
      </c>
      <c r="G284" s="1">
        <v>452.5</v>
      </c>
      <c r="H284" s="1">
        <v>0</v>
      </c>
      <c r="I284" s="1">
        <f t="shared" si="314"/>
        <v>452.5</v>
      </c>
      <c r="J284" s="1">
        <f t="shared" si="316"/>
        <v>451.2</v>
      </c>
      <c r="K284" s="1">
        <f>IF(ISNA(VLOOKUP($CZ284,'Audit Values'!$A$2:$AE$439,2,FALSE)),'Preliminary SO66'!B281,VLOOKUP($CZ284,'Audit Values'!$A$2:$AE$439,31,FALSE))</f>
        <v>444.5</v>
      </c>
      <c r="L284" s="1">
        <f t="shared" si="317"/>
        <v>452.5</v>
      </c>
      <c r="M284" s="1">
        <f>IF(ISNA(VLOOKUP($CZ284,'Audit Values'!$A$2:$AE$439,2,FALSE)),'Preliminary SO66'!Z281,VLOOKUP($CZ284,'Audit Values'!$A$2:$AE$439,26,FALSE))</f>
        <v>0</v>
      </c>
      <c r="N284" s="1">
        <f t="shared" si="318"/>
        <v>452.5</v>
      </c>
      <c r="O284" s="1">
        <f>IF(ISNA(VLOOKUP($CZ284,'Audit Values'!$A$2:$AE$439,2,FALSE)),'Preliminary SO66'!C281,IF(VLOOKUP($CZ284,'Audit Values'!$A$2:$AE$439,28,FALSE)="",VLOOKUP($CZ284,'Audit Values'!$A$2:$AE$439,3,FALSE),VLOOKUP($CZ284,'Audit Values'!$A$2:$AE$439,28,FALSE)))</f>
        <v>5</v>
      </c>
      <c r="P284" s="109">
        <f t="shared" si="319"/>
        <v>449.5</v>
      </c>
      <c r="Q284" s="110">
        <f t="shared" si="320"/>
        <v>456.2</v>
      </c>
      <c r="R284" s="111">
        <f t="shared" si="321"/>
        <v>456.2</v>
      </c>
      <c r="S284" s="1">
        <f t="shared" si="322"/>
        <v>457.5</v>
      </c>
      <c r="T284" s="1">
        <f t="shared" si="348"/>
        <v>6.7</v>
      </c>
      <c r="U284" s="1">
        <f t="shared" si="323"/>
        <v>197</v>
      </c>
      <c r="V284" s="1">
        <f>MAX(BN284,BR284,BV284)</f>
        <v>197</v>
      </c>
      <c r="W284" s="1">
        <f t="shared" si="309"/>
        <v>0</v>
      </c>
      <c r="X284" s="1">
        <f>IF(ISNA(VLOOKUP($CZ284,'Audit Values'!$A$2:$AE$439,2,FALSE)),'Preliminary SO66'!D281,VLOOKUP($CZ284,'Audit Values'!$A$2:$AE$439,4,FALSE))</f>
        <v>147.69999999999999</v>
      </c>
      <c r="Y284" s="1">
        <f>ROUND((X284/6)*Weightings!$M$6,1)</f>
        <v>12.3</v>
      </c>
      <c r="Z284" s="1">
        <f>IF(ISNA(VLOOKUP($CZ284,'Audit Values'!$A$2:$AE$439,2,FALSE)),'Preliminary SO66'!F281,VLOOKUP($CZ284,'Audit Values'!$A$2:$AE$439,6,FALSE))</f>
        <v>0</v>
      </c>
      <c r="AA284" s="1">
        <f>ROUND((Z284/6)*Weightings!$M$7,1)</f>
        <v>0</v>
      </c>
      <c r="AB284" s="2">
        <f>IF(ISNA(VLOOKUP($CZ284,'Audit Values'!$A$2:$AE$439,2,FALSE)),'Preliminary SO66'!H281,VLOOKUP($CZ284,'Audit Values'!$A$2:$AE$439,8,FALSE))</f>
        <v>233</v>
      </c>
      <c r="AC284" s="1">
        <f>ROUND(AB284*Weightings!$M$8,1)</f>
        <v>106.2</v>
      </c>
      <c r="AD284" s="1">
        <f t="shared" si="304"/>
        <v>24.5</v>
      </c>
      <c r="AE284" s="185">
        <v>36</v>
      </c>
      <c r="AF284" s="1">
        <f>AE284*Weightings!$M$9</f>
        <v>1.7</v>
      </c>
      <c r="AG284" s="1">
        <f>IF(ISNA(VLOOKUP($CZ284,'Audit Values'!$A$2:$AE$439,2,FALSE)),'Preliminary SO66'!L281,VLOOKUP($CZ284,'Audit Values'!$A$2:$AE$439,12,FALSE))</f>
        <v>0</v>
      </c>
      <c r="AH284" s="1">
        <f>ROUND(AG284*Weightings!$M$10,1)</f>
        <v>0</v>
      </c>
      <c r="AI284" s="1">
        <f>IF(ISNA(VLOOKUP($CZ284,'Audit Values'!$A$2:$AE$439,2,FALSE)),'Preliminary SO66'!O281,VLOOKUP($CZ284,'Audit Values'!$A$2:$AE$439,15,FALSE))</f>
        <v>36</v>
      </c>
      <c r="AJ284" s="1">
        <f t="shared" si="324"/>
        <v>12.5</v>
      </c>
      <c r="AK284" s="1">
        <f>CC284/Weightings!$M$5</f>
        <v>0</v>
      </c>
      <c r="AL284" s="1">
        <f>CD284/Weightings!$M$5</f>
        <v>0</v>
      </c>
      <c r="AM284" s="1">
        <f>CH284/Weightings!$M$5</f>
        <v>0</v>
      </c>
      <c r="AN284" s="1">
        <f t="shared" si="310"/>
        <v>7</v>
      </c>
      <c r="AO284" s="1">
        <f>IF(ISNA(VLOOKUP($CZ284,'Audit Values'!$A$2:$AE$439,2,FALSE)),'Preliminary SO66'!X281,VLOOKUP($CZ284,'Audit Values'!$A$2:$AE$439,24,FALSE))</f>
        <v>0</v>
      </c>
      <c r="AP284" s="188">
        <v>438202</v>
      </c>
      <c r="AQ284" s="113">
        <f>AP284/Weightings!$M$5</f>
        <v>114.2</v>
      </c>
      <c r="AR284" s="113">
        <f t="shared" si="325"/>
        <v>818.7</v>
      </c>
      <c r="AS284" s="1">
        <f t="shared" si="326"/>
        <v>932.9</v>
      </c>
      <c r="AT284" s="1">
        <f t="shared" si="327"/>
        <v>932.9</v>
      </c>
      <c r="AU284" s="2">
        <f t="shared" si="341"/>
        <v>0</v>
      </c>
      <c r="AV284" s="82">
        <f>IF(ISNA(VLOOKUP($CZ284,'Audit Values'!$A$2:$AC$360,2,FALSE)),"",IF(AND(Weightings!H284&gt;0,VLOOKUP($CZ284,'Audit Values'!$A$2:$AC$360,29,FALSE)&lt;Weightings!H284),Weightings!H284,VLOOKUP($CZ284,'Audit Values'!$A$2:$AC$360,29,FALSE)))</f>
        <v>24</v>
      </c>
      <c r="AW284" s="82" t="str">
        <f>IF(ISNA(VLOOKUP($CZ284,'Audit Values'!$A$2:$AD$360,2,FALSE)),"",VLOOKUP($CZ284,'Audit Values'!$A$2:$AD$360,30,FALSE))</f>
        <v>A</v>
      </c>
      <c r="AX284" s="82" t="str">
        <f>IF(Weightings!G284="","",IF(Weightings!I284="Pending","PX","R"))</f>
        <v/>
      </c>
      <c r="AY284" s="114">
        <f>AR284*Weightings!$M$5+AU284</f>
        <v>3142171</v>
      </c>
      <c r="AZ284" s="2">
        <f>AT284*Weightings!$M$5+AU284</f>
        <v>3580470</v>
      </c>
      <c r="BA284" s="2">
        <f>IF(Weightings!G284&gt;0,Weightings!G284,'Preliminary SO66'!AB281)</f>
        <v>3740131</v>
      </c>
      <c r="BB284" s="2">
        <f t="shared" si="328"/>
        <v>3580470</v>
      </c>
      <c r="BC284" s="124"/>
      <c r="BD284" s="124">
        <f>Weightings!E284</f>
        <v>0</v>
      </c>
      <c r="BE284" s="124">
        <f>Weightings!F284</f>
        <v>0</v>
      </c>
      <c r="BF284" s="2">
        <f t="shared" si="329"/>
        <v>0</v>
      </c>
      <c r="BG284" s="2">
        <f t="shared" si="330"/>
        <v>3580470</v>
      </c>
      <c r="BH284" s="2">
        <f>MAX(ROUND(((AR284-AO284)*4433)+AP284,0),ROUND(((AR284-AO284)*4433)+Weightings!B284,0))</f>
        <v>4166974</v>
      </c>
      <c r="BI284" s="174">
        <v>0.3</v>
      </c>
      <c r="BJ284" s="2">
        <f t="shared" si="352"/>
        <v>1250092</v>
      </c>
      <c r="BK284" s="173">
        <v>1279350</v>
      </c>
      <c r="BL284" s="2">
        <f t="shared" si="303"/>
        <v>1250092</v>
      </c>
      <c r="BM284" s="3">
        <f t="shared" si="315"/>
        <v>0.3</v>
      </c>
      <c r="BN284" s="1">
        <f t="shared" si="331"/>
        <v>0</v>
      </c>
      <c r="BO284" s="4" t="b">
        <f t="shared" si="332"/>
        <v>0</v>
      </c>
      <c r="BP284" s="5">
        <f t="shared" si="333"/>
        <v>0</v>
      </c>
      <c r="BQ284" s="6">
        <f t="shared" si="353"/>
        <v>0</v>
      </c>
      <c r="BR284" s="4">
        <f t="shared" si="334"/>
        <v>0</v>
      </c>
      <c r="BS284" s="4" t="b">
        <f t="shared" si="335"/>
        <v>1</v>
      </c>
      <c r="BT284" s="4">
        <f t="shared" si="336"/>
        <v>194.90629999999999</v>
      </c>
      <c r="BU284" s="6">
        <f t="shared" si="354"/>
        <v>0.430676</v>
      </c>
      <c r="BV284" s="1">
        <f t="shared" si="337"/>
        <v>197</v>
      </c>
      <c r="BW284" s="1">
        <f t="shared" si="338"/>
        <v>0</v>
      </c>
      <c r="BX284" s="116">
        <v>126</v>
      </c>
      <c r="BY284" s="7">
        <f t="shared" si="342"/>
        <v>0.28999999999999998</v>
      </c>
      <c r="BZ284" s="7">
        <f>IF(ROUND((Weightings!$P$5*BY284^Weightings!$P$6*Weightings!$P$8 ),2)&lt;Weightings!$P$7,Weightings!$P$7,ROUND((Weightings!$P$5*BY284^Weightings!$P$6*Weightings!$P$8 ),2))</f>
        <v>1329.23</v>
      </c>
      <c r="CA284" s="8">
        <f>ROUND(BZ284/Weightings!$M$5,4)</f>
        <v>0.3463</v>
      </c>
      <c r="CB284" s="1">
        <f t="shared" si="343"/>
        <v>12.5</v>
      </c>
      <c r="CC284" s="173">
        <v>0</v>
      </c>
      <c r="CD284" s="173">
        <v>0</v>
      </c>
      <c r="CE284" s="173">
        <v>0</v>
      </c>
      <c r="CF284" s="177">
        <v>0</v>
      </c>
      <c r="CG284" s="2">
        <f>AS284*Weightings!$M$5*CF284</f>
        <v>0</v>
      </c>
      <c r="CH284" s="2">
        <f t="shared" si="305"/>
        <v>0</v>
      </c>
      <c r="CI284" s="117">
        <f t="shared" si="339"/>
        <v>0.50900000000000001</v>
      </c>
      <c r="CJ284" s="4">
        <f t="shared" si="340"/>
        <v>3.6</v>
      </c>
      <c r="CK284" s="1">
        <f t="shared" si="344"/>
        <v>24.5</v>
      </c>
      <c r="CL284" s="1">
        <f t="shared" si="345"/>
        <v>0</v>
      </c>
      <c r="CM284" s="1">
        <f t="shared" si="346"/>
        <v>0</v>
      </c>
      <c r="CN284" s="1">
        <f>IF(ISNA(VLOOKUP($CZ284,'Audit Values'!$A$2:$AE$439,2,FALSE)),'Preliminary SO66'!T281,VLOOKUP($CZ284,'Audit Values'!$A$2:$AE$439,20,FALSE))</f>
        <v>6.7</v>
      </c>
      <c r="CO284" s="1">
        <f t="shared" si="311"/>
        <v>7</v>
      </c>
      <c r="CP284" s="181">
        <v>0</v>
      </c>
      <c r="CQ284" s="1">
        <f t="shared" si="312"/>
        <v>0</v>
      </c>
      <c r="CR284" s="2">
        <f>IF(ISNA(VLOOKUP($CZ284,'Audit Values'!$A$2:$AE$439,2,FALSE)),'Preliminary SO66'!V281,VLOOKUP($CZ284,'Audit Values'!$A$2:$AE$439,22,FALSE))</f>
        <v>0</v>
      </c>
      <c r="CS284" s="1">
        <f t="shared" si="313"/>
        <v>0</v>
      </c>
      <c r="CT284" s="2">
        <f>IF(ISNA(VLOOKUP($CZ284,'Audit Values'!$A$2:$AE$439,2,FALSE)),'Preliminary SO66'!W281,VLOOKUP($CZ284,'Audit Values'!$A$2:$AE$439,23,FALSE))</f>
        <v>0</v>
      </c>
      <c r="CU284" s="1">
        <f t="shared" si="349"/>
        <v>0</v>
      </c>
      <c r="CV284" s="1">
        <f t="shared" si="350"/>
        <v>7</v>
      </c>
      <c r="CW284" s="176">
        <v>0</v>
      </c>
      <c r="CX284" s="2">
        <f>IF(CW284&gt;0,Weightings!$M$11*AR284,0)</f>
        <v>0</v>
      </c>
      <c r="CY284" s="2">
        <f t="shared" si="347"/>
        <v>0</v>
      </c>
      <c r="CZ284" s="108" t="s">
        <v>576</v>
      </c>
    </row>
    <row r="285" spans="1:104">
      <c r="A285" s="82">
        <v>506</v>
      </c>
      <c r="B285" s="4" t="s">
        <v>110</v>
      </c>
      <c r="C285" s="4" t="s">
        <v>911</v>
      </c>
      <c r="D285" s="1">
        <v>1599</v>
      </c>
      <c r="E285" s="1">
        <v>0</v>
      </c>
      <c r="F285" s="1">
        <f t="shared" si="351"/>
        <v>1599</v>
      </c>
      <c r="G285" s="1">
        <v>1522.3</v>
      </c>
      <c r="H285" s="1">
        <v>0</v>
      </c>
      <c r="I285" s="1">
        <f t="shared" si="314"/>
        <v>1522.3</v>
      </c>
      <c r="J285" s="1">
        <f t="shared" si="316"/>
        <v>1460.3</v>
      </c>
      <c r="K285" s="1">
        <f>IF(ISNA(VLOOKUP($CZ285,'Audit Values'!$A$2:$AE$439,2,FALSE)),'Preliminary SO66'!B282,VLOOKUP($CZ285,'Audit Values'!$A$2:$AE$439,31,FALSE))</f>
        <v>1460.3</v>
      </c>
      <c r="L285" s="1">
        <f t="shared" si="317"/>
        <v>1527.2</v>
      </c>
      <c r="M285" s="1">
        <f>IF(ISNA(VLOOKUP($CZ285,'Audit Values'!$A$2:$AE$439,2,FALSE)),'Preliminary SO66'!Z282,VLOOKUP($CZ285,'Audit Values'!$A$2:$AE$439,26,FALSE))</f>
        <v>0</v>
      </c>
      <c r="N285" s="1">
        <f t="shared" si="318"/>
        <v>1527.2</v>
      </c>
      <c r="O285" s="1">
        <f>IF(ISNA(VLOOKUP($CZ285,'Audit Values'!$A$2:$AE$439,2,FALSE)),'Preliminary SO66'!C282,IF(VLOOKUP($CZ285,'Audit Values'!$A$2:$AE$439,28,FALSE)="",VLOOKUP($CZ285,'Audit Values'!$A$2:$AE$439,3,FALSE),VLOOKUP($CZ285,'Audit Values'!$A$2:$AE$439,28,FALSE)))</f>
        <v>11</v>
      </c>
      <c r="P285" s="109">
        <f t="shared" si="319"/>
        <v>1471.3</v>
      </c>
      <c r="Q285" s="110">
        <f t="shared" si="320"/>
        <v>1471.3</v>
      </c>
      <c r="R285" s="111">
        <f t="shared" si="321"/>
        <v>1471.3</v>
      </c>
      <c r="S285" s="1">
        <f t="shared" si="322"/>
        <v>1538.2</v>
      </c>
      <c r="T285" s="1">
        <f t="shared" si="348"/>
        <v>0</v>
      </c>
      <c r="U285" s="1">
        <f t="shared" si="323"/>
        <v>97.7</v>
      </c>
      <c r="V285" s="1">
        <f t="shared" si="308"/>
        <v>97.7</v>
      </c>
      <c r="W285" s="1">
        <f t="shared" si="309"/>
        <v>0</v>
      </c>
      <c r="X285" s="1">
        <f>IF(ISNA(VLOOKUP($CZ285,'Audit Values'!$A$2:$AE$439,2,FALSE)),'Preliminary SO66'!D282,VLOOKUP($CZ285,'Audit Values'!$A$2:$AE$439,4,FALSE))</f>
        <v>757</v>
      </c>
      <c r="Y285" s="1">
        <f>ROUND((X285/6)*Weightings!$M$6,1)</f>
        <v>63.1</v>
      </c>
      <c r="Z285" s="1">
        <f>IF(ISNA(VLOOKUP($CZ285,'Audit Values'!$A$2:$AE$439,2,FALSE)),'Preliminary SO66'!F282,VLOOKUP($CZ285,'Audit Values'!$A$2:$AE$439,6,FALSE))</f>
        <v>0</v>
      </c>
      <c r="AA285" s="1">
        <f>ROUND((Z285/6)*Weightings!$M$7,1)</f>
        <v>0</v>
      </c>
      <c r="AB285" s="2">
        <f>IF(ISNA(VLOOKUP($CZ285,'Audit Values'!$A$2:$AE$439,2,FALSE)),'Preliminary SO66'!H282,VLOOKUP($CZ285,'Audit Values'!$A$2:$AE$439,8,FALSE))</f>
        <v>622</v>
      </c>
      <c r="AC285" s="1">
        <f>ROUND(AB285*Weightings!$M$8,1)</f>
        <v>283.60000000000002</v>
      </c>
      <c r="AD285" s="1">
        <f t="shared" si="304"/>
        <v>23.5</v>
      </c>
      <c r="AE285" s="185">
        <v>69</v>
      </c>
      <c r="AF285" s="1">
        <f>AE285*Weightings!$M$9</f>
        <v>3.2</v>
      </c>
      <c r="AG285" s="1">
        <f>IF(ISNA(VLOOKUP($CZ285,'Audit Values'!$A$2:$AE$439,2,FALSE)),'Preliminary SO66'!L282,VLOOKUP($CZ285,'Audit Values'!$A$2:$AE$439,12,FALSE))</f>
        <v>17.899999999999999</v>
      </c>
      <c r="AH285" s="1">
        <f>ROUND(AG285*Weightings!$M$10,1)</f>
        <v>4.5</v>
      </c>
      <c r="AI285" s="1">
        <f>IF(ISNA(VLOOKUP($CZ285,'Audit Values'!$A$2:$AE$439,2,FALSE)),'Preliminary SO66'!O282,VLOOKUP($CZ285,'Audit Values'!$A$2:$AE$439,15,FALSE))</f>
        <v>657.5</v>
      </c>
      <c r="AJ285" s="1">
        <f t="shared" si="324"/>
        <v>161.19999999999999</v>
      </c>
      <c r="AK285" s="1">
        <f>CC285/Weightings!$M$5</f>
        <v>0</v>
      </c>
      <c r="AL285" s="1">
        <f>CD285/Weightings!$M$5</f>
        <v>0</v>
      </c>
      <c r="AM285" s="1">
        <f>CH285/Weightings!$M$5</f>
        <v>0</v>
      </c>
      <c r="AN285" s="1">
        <f t="shared" si="310"/>
        <v>0</v>
      </c>
      <c r="AO285" s="1">
        <f>IF(ISNA(VLOOKUP($CZ285,'Audit Values'!$A$2:$AE$439,2,FALSE)),'Preliminary SO66'!X282,VLOOKUP($CZ285,'Audit Values'!$A$2:$AE$439,24,FALSE))</f>
        <v>0</v>
      </c>
      <c r="AP285" s="188">
        <v>1499713</v>
      </c>
      <c r="AQ285" s="113">
        <f>AP285/Weightings!$M$5</f>
        <v>390.8</v>
      </c>
      <c r="AR285" s="113">
        <f t="shared" si="325"/>
        <v>2175</v>
      </c>
      <c r="AS285" s="1">
        <f t="shared" si="326"/>
        <v>2565.8000000000002</v>
      </c>
      <c r="AT285" s="1">
        <f t="shared" si="327"/>
        <v>2565.8000000000002</v>
      </c>
      <c r="AU285" s="2">
        <f t="shared" si="341"/>
        <v>0</v>
      </c>
      <c r="AV285" s="82">
        <f>IF(ISNA(VLOOKUP($CZ285,'Audit Values'!$A$2:$AC$360,2,FALSE)),"",IF(AND(Weightings!H285&gt;0,VLOOKUP($CZ285,'Audit Values'!$A$2:$AC$360,29,FALSE)&lt;Weightings!H285),Weightings!H285,VLOOKUP($CZ285,'Audit Values'!$A$2:$AC$360,29,FALSE)))</f>
        <v>21</v>
      </c>
      <c r="AW285" s="82" t="str">
        <f>IF(ISNA(VLOOKUP($CZ285,'Audit Values'!$A$2:$AD$360,2,FALSE)),"",VLOOKUP($CZ285,'Audit Values'!$A$2:$AD$360,30,FALSE))</f>
        <v>A</v>
      </c>
      <c r="AX285" s="82" t="str">
        <f>IF(Weightings!G285="","",IF(Weightings!I285="Pending","PX","R"))</f>
        <v/>
      </c>
      <c r="AY285" s="114">
        <f>AR285*Weightings!$M$5+AU285</f>
        <v>8347650</v>
      </c>
      <c r="AZ285" s="2">
        <f>AT285*Weightings!$M$5+AU285</f>
        <v>9847540</v>
      </c>
      <c r="BA285" s="2">
        <f>IF(Weightings!G285&gt;0,Weightings!G285,'Preliminary SO66'!AB282)</f>
        <v>10237481</v>
      </c>
      <c r="BB285" s="2">
        <f t="shared" si="328"/>
        <v>9847540</v>
      </c>
      <c r="BC285" s="124"/>
      <c r="BD285" s="124">
        <f>Weightings!E285</f>
        <v>0</v>
      </c>
      <c r="BE285" s="124">
        <f>Weightings!F285</f>
        <v>0</v>
      </c>
      <c r="BF285" s="2">
        <f t="shared" si="329"/>
        <v>0</v>
      </c>
      <c r="BG285" s="2">
        <f t="shared" si="330"/>
        <v>9847540</v>
      </c>
      <c r="BH285" s="2">
        <f>MAX(ROUND(((AR285-AO285)*4433)+AP285,0),ROUND(((AR285-AO285)*4433)+Weightings!B285,0))</f>
        <v>11141488</v>
      </c>
      <c r="BI285" s="174">
        <v>0.3</v>
      </c>
      <c r="BJ285" s="2">
        <f t="shared" si="352"/>
        <v>3342446</v>
      </c>
      <c r="BK285" s="173">
        <v>3467088</v>
      </c>
      <c r="BL285" s="2">
        <f t="shared" si="303"/>
        <v>3342446</v>
      </c>
      <c r="BM285" s="3">
        <f t="shared" si="315"/>
        <v>0.3</v>
      </c>
      <c r="BN285" s="1">
        <f t="shared" si="331"/>
        <v>0</v>
      </c>
      <c r="BO285" s="4" t="b">
        <f t="shared" si="332"/>
        <v>0</v>
      </c>
      <c r="BP285" s="5">
        <f t="shared" si="333"/>
        <v>0</v>
      </c>
      <c r="BQ285" s="6">
        <f t="shared" si="353"/>
        <v>0</v>
      </c>
      <c r="BR285" s="4">
        <f t="shared" si="334"/>
        <v>0</v>
      </c>
      <c r="BS285" s="4" t="b">
        <f t="shared" si="335"/>
        <v>1</v>
      </c>
      <c r="BT285" s="4">
        <f t="shared" si="336"/>
        <v>1532.2725</v>
      </c>
      <c r="BU285" s="6">
        <f t="shared" si="354"/>
        <v>6.3509999999999997E-2</v>
      </c>
      <c r="BV285" s="1">
        <f t="shared" si="337"/>
        <v>97.7</v>
      </c>
      <c r="BW285" s="1">
        <f t="shared" si="338"/>
        <v>0</v>
      </c>
      <c r="BX285" s="116">
        <v>500</v>
      </c>
      <c r="BY285" s="7">
        <f t="shared" si="342"/>
        <v>1.32</v>
      </c>
      <c r="BZ285" s="7">
        <f>IF(ROUND((Weightings!$P$5*BY285^Weightings!$P$6*Weightings!$P$8 ),2)&lt;Weightings!$P$7,Weightings!$P$7,ROUND((Weightings!$P$5*BY285^Weightings!$P$6*Weightings!$P$8 ),2))</f>
        <v>940.74</v>
      </c>
      <c r="CA285" s="8">
        <f>ROUND(BZ285/Weightings!$M$5,4)</f>
        <v>0.24510000000000001</v>
      </c>
      <c r="CB285" s="1">
        <f t="shared" si="343"/>
        <v>161.19999999999999</v>
      </c>
      <c r="CC285" s="173">
        <v>0</v>
      </c>
      <c r="CD285" s="173">
        <v>0</v>
      </c>
      <c r="CE285" s="173">
        <v>0</v>
      </c>
      <c r="CF285" s="177">
        <v>0</v>
      </c>
      <c r="CG285" s="2">
        <f>AS285*Weightings!$M$5*CF285</f>
        <v>0</v>
      </c>
      <c r="CH285" s="2">
        <f t="shared" si="305"/>
        <v>0</v>
      </c>
      <c r="CI285" s="117">
        <f t="shared" si="339"/>
        <v>0.40400000000000003</v>
      </c>
      <c r="CJ285" s="4">
        <f t="shared" si="340"/>
        <v>3.1</v>
      </c>
      <c r="CK285" s="1">
        <f t="shared" si="344"/>
        <v>0</v>
      </c>
      <c r="CL285" s="1">
        <f t="shared" si="345"/>
        <v>0</v>
      </c>
      <c r="CM285" s="1">
        <f t="shared" si="346"/>
        <v>23.5</v>
      </c>
      <c r="CN285" s="1">
        <f>IF(ISNA(VLOOKUP($CZ285,'Audit Values'!$A$2:$AE$439,2,FALSE)),'Preliminary SO66'!T282,VLOOKUP($CZ285,'Audit Values'!$A$2:$AE$439,20,FALSE))</f>
        <v>0</v>
      </c>
      <c r="CO285" s="1">
        <f t="shared" si="311"/>
        <v>0</v>
      </c>
      <c r="CP285" s="183">
        <v>0</v>
      </c>
      <c r="CQ285" s="1">
        <f t="shared" si="312"/>
        <v>0</v>
      </c>
      <c r="CR285" s="2">
        <f>IF(ISNA(VLOOKUP($CZ285,'Audit Values'!$A$2:$AE$439,2,FALSE)),'Preliminary SO66'!V282,VLOOKUP($CZ285,'Audit Values'!$A$2:$AE$439,22,FALSE))</f>
        <v>0</v>
      </c>
      <c r="CS285" s="1">
        <f t="shared" si="313"/>
        <v>0</v>
      </c>
      <c r="CT285" s="2">
        <f>IF(ISNA(VLOOKUP($CZ285,'Audit Values'!$A$2:$AE$439,2,FALSE)),'Preliminary SO66'!W282,VLOOKUP($CZ285,'Audit Values'!$A$2:$AE$439,23,FALSE))</f>
        <v>0</v>
      </c>
      <c r="CU285" s="1">
        <f t="shared" si="349"/>
        <v>0</v>
      </c>
      <c r="CV285" s="1">
        <f t="shared" si="350"/>
        <v>0</v>
      </c>
      <c r="CW285" s="176">
        <v>0</v>
      </c>
      <c r="CX285" s="2">
        <f>IF(CW285&gt;0,Weightings!$M$11*AR285,0)</f>
        <v>0</v>
      </c>
      <c r="CY285" s="2">
        <f t="shared" si="347"/>
        <v>0</v>
      </c>
      <c r="CZ285" s="108" t="s">
        <v>577</v>
      </c>
    </row>
    <row r="286" spans="1:104">
      <c r="A286" s="82">
        <v>507</v>
      </c>
      <c r="B286" s="4" t="s">
        <v>77</v>
      </c>
      <c r="C286" s="4" t="s">
        <v>912</v>
      </c>
      <c r="D286" s="1">
        <v>288.5</v>
      </c>
      <c r="E286" s="1">
        <v>0</v>
      </c>
      <c r="F286" s="1">
        <f>D286+E286</f>
        <v>288.5</v>
      </c>
      <c r="G286" s="1">
        <v>272</v>
      </c>
      <c r="H286" s="1">
        <v>0</v>
      </c>
      <c r="I286" s="1">
        <f>G286+H286</f>
        <v>272</v>
      </c>
      <c r="J286" s="1">
        <f t="shared" si="316"/>
        <v>275</v>
      </c>
      <c r="K286" s="1">
        <f>IF(ISNA(VLOOKUP($CZ286,'Audit Values'!$A$2:$AE$439,2,FALSE)),'Preliminary SO66'!B283,VLOOKUP($CZ286,'Audit Values'!$A$2:$AE$439,31,FALSE))</f>
        <v>275</v>
      </c>
      <c r="L286" s="1">
        <f t="shared" si="317"/>
        <v>278.5</v>
      </c>
      <c r="M286" s="1">
        <f>IF(ISNA(VLOOKUP($CZ286,'Audit Values'!$A$2:$AE$439,2,FALSE)),'Preliminary SO66'!Z283,VLOOKUP($CZ286,'Audit Values'!$A$2:$AE$439,26,FALSE))</f>
        <v>0</v>
      </c>
      <c r="N286" s="1">
        <f t="shared" si="318"/>
        <v>278.5</v>
      </c>
      <c r="O286" s="1">
        <f>IF(ISNA(VLOOKUP($CZ286,'Audit Values'!$A$2:$AE$439,2,FALSE)),'Preliminary SO66'!C283,IF(VLOOKUP($CZ286,'Audit Values'!$A$2:$AE$439,28,FALSE)="",VLOOKUP($CZ286,'Audit Values'!$A$2:$AE$439,3,FALSE),VLOOKUP($CZ286,'Audit Values'!$A$2:$AE$439,28,FALSE)))</f>
        <v>6</v>
      </c>
      <c r="P286" s="109">
        <f t="shared" si="319"/>
        <v>281</v>
      </c>
      <c r="Q286" s="110">
        <f t="shared" si="320"/>
        <v>281</v>
      </c>
      <c r="R286" s="111">
        <f t="shared" si="321"/>
        <v>281</v>
      </c>
      <c r="S286" s="1">
        <f t="shared" si="322"/>
        <v>284.5</v>
      </c>
      <c r="T286" s="1">
        <f t="shared" si="348"/>
        <v>0</v>
      </c>
      <c r="U286" s="1">
        <f t="shared" si="323"/>
        <v>149.4</v>
      </c>
      <c r="V286" s="1">
        <f t="shared" si="308"/>
        <v>149.4</v>
      </c>
      <c r="W286" s="1">
        <f t="shared" si="309"/>
        <v>0</v>
      </c>
      <c r="X286" s="1">
        <f>IF(ISNA(VLOOKUP($CZ286,'Audit Values'!$A$2:$AE$439,2,FALSE)),'Preliminary SO66'!D283,VLOOKUP($CZ286,'Audit Values'!$A$2:$AE$439,4,FALSE))</f>
        <v>82.1</v>
      </c>
      <c r="Y286" s="1">
        <f>ROUND((X286/6)*Weightings!$M$6,1)</f>
        <v>6.8</v>
      </c>
      <c r="Z286" s="1">
        <f>IF(ISNA(VLOOKUP($CZ286,'Audit Values'!$A$2:$AE$439,2,FALSE)),'Preliminary SO66'!F283,VLOOKUP($CZ286,'Audit Values'!$A$2:$AE$439,6,FALSE))</f>
        <v>744.2</v>
      </c>
      <c r="AA286" s="1">
        <f>ROUND((Z286/6)*Weightings!$M$7,1)</f>
        <v>49</v>
      </c>
      <c r="AB286" s="2">
        <f>IF(ISNA(VLOOKUP($CZ286,'Audit Values'!$A$2:$AE$439,2,FALSE)),'Preliminary SO66'!H283,VLOOKUP($CZ286,'Audit Values'!$A$2:$AE$439,8,FALSE))</f>
        <v>170</v>
      </c>
      <c r="AC286" s="1">
        <f>ROUND(AB286*Weightings!$M$8,1)</f>
        <v>77.5</v>
      </c>
      <c r="AD286" s="1">
        <f t="shared" si="304"/>
        <v>17.899999999999999</v>
      </c>
      <c r="AE286" s="185">
        <v>8</v>
      </c>
      <c r="AF286" s="1">
        <f>AE286*Weightings!$M$9</f>
        <v>0.4</v>
      </c>
      <c r="AG286" s="1">
        <f>IF(ISNA(VLOOKUP($CZ286,'Audit Values'!$A$2:$AE$439,2,FALSE)),'Preliminary SO66'!L283,VLOOKUP($CZ286,'Audit Values'!$A$2:$AE$439,12,FALSE))</f>
        <v>0</v>
      </c>
      <c r="AH286" s="1">
        <f>ROUND(AG286*Weightings!$M$10,1)</f>
        <v>0</v>
      </c>
      <c r="AI286" s="1">
        <f>IF(ISNA(VLOOKUP($CZ286,'Audit Values'!$A$2:$AE$439,2,FALSE)),'Preliminary SO66'!O283,VLOOKUP($CZ286,'Audit Values'!$A$2:$AE$439,15,FALSE))</f>
        <v>50</v>
      </c>
      <c r="AJ286" s="1">
        <f t="shared" si="324"/>
        <v>18.899999999999999</v>
      </c>
      <c r="AK286" s="1">
        <f>CC286/Weightings!$M$5</f>
        <v>0</v>
      </c>
      <c r="AL286" s="1">
        <f>CD286/Weightings!$M$5</f>
        <v>0</v>
      </c>
      <c r="AM286" s="1">
        <f>CH286/Weightings!$M$5</f>
        <v>0</v>
      </c>
      <c r="AN286" s="1">
        <f t="shared" si="310"/>
        <v>0</v>
      </c>
      <c r="AO286" s="1">
        <f>IF(ISNA(VLOOKUP($CZ286,'Audit Values'!$A$2:$AE$439,2,FALSE)),'Preliminary SO66'!X283,VLOOKUP($CZ286,'Audit Values'!$A$2:$AE$439,24,FALSE))</f>
        <v>0</v>
      </c>
      <c r="AP286" s="188">
        <v>170872</v>
      </c>
      <c r="AQ286" s="113">
        <f>AP286/Weightings!$M$5</f>
        <v>44.5</v>
      </c>
      <c r="AR286" s="113">
        <f t="shared" si="325"/>
        <v>604.4</v>
      </c>
      <c r="AS286" s="1">
        <f t="shared" si="326"/>
        <v>648.9</v>
      </c>
      <c r="AT286" s="1">
        <f t="shared" si="327"/>
        <v>648.9</v>
      </c>
      <c r="AU286" s="189">
        <v>0</v>
      </c>
      <c r="AV286" s="82">
        <f>IF(ISNA(VLOOKUP($CZ286,'Audit Values'!$A$2:$AC$360,2,FALSE)),"",IF(AND(Weightings!H286&gt;0,VLOOKUP($CZ286,'Audit Values'!$A$2:$AC$360,29,FALSE)&lt;Weightings!H286),Weightings!H286,VLOOKUP($CZ286,'Audit Values'!$A$2:$AC$360,29,FALSE)))</f>
        <v>15</v>
      </c>
      <c r="AW286" s="82" t="str">
        <f>IF(ISNA(VLOOKUP($CZ286,'Audit Values'!$A$2:$AD$360,2,FALSE)),"",VLOOKUP($CZ286,'Audit Values'!$A$2:$AD$360,30,FALSE))</f>
        <v>A</v>
      </c>
      <c r="AX286" s="82" t="str">
        <f>IF(Weightings!G286="","",IF(Weightings!I286="Pending","PX","R"))</f>
        <v/>
      </c>
      <c r="AY286" s="114">
        <f>AR286*Weightings!$M$5+AU286</f>
        <v>2319687</v>
      </c>
      <c r="AZ286" s="2">
        <f>AT286*Weightings!$M$5+AU286</f>
        <v>2490478</v>
      </c>
      <c r="BA286" s="2">
        <f>IF(Weightings!G286&gt;0,Weightings!G286,'Preliminary SO66'!AB283)</f>
        <v>2592560</v>
      </c>
      <c r="BB286" s="2">
        <f t="shared" si="328"/>
        <v>2490478</v>
      </c>
      <c r="BC286" s="124"/>
      <c r="BD286" s="124">
        <f>Weightings!E286</f>
        <v>0</v>
      </c>
      <c r="BE286" s="124">
        <f>Weightings!F286</f>
        <v>0</v>
      </c>
      <c r="BF286" s="2">
        <f t="shared" si="329"/>
        <v>0</v>
      </c>
      <c r="BG286" s="2">
        <f t="shared" si="330"/>
        <v>2490478</v>
      </c>
      <c r="BH286" s="2">
        <f>MAX(ROUND(((AR286-AO286)*4433)+AP286,0),ROUND(((AR286-AO286)*4433)+Weightings!B286,0))</f>
        <v>2905413</v>
      </c>
      <c r="BI286" s="174">
        <v>0.3</v>
      </c>
      <c r="BJ286" s="2">
        <f t="shared" si="352"/>
        <v>871624</v>
      </c>
      <c r="BK286" s="173">
        <v>906733</v>
      </c>
      <c r="BL286" s="2">
        <f t="shared" si="303"/>
        <v>871624</v>
      </c>
      <c r="BM286" s="3">
        <f t="shared" si="315"/>
        <v>0.3</v>
      </c>
      <c r="BN286" s="1">
        <f t="shared" si="331"/>
        <v>0</v>
      </c>
      <c r="BO286" s="4" t="b">
        <f t="shared" si="332"/>
        <v>1</v>
      </c>
      <c r="BP286" s="5">
        <f t="shared" si="333"/>
        <v>1781.348</v>
      </c>
      <c r="BQ286" s="6">
        <f t="shared" si="353"/>
        <v>0.52527199999999996</v>
      </c>
      <c r="BR286" s="4">
        <f t="shared" si="334"/>
        <v>149.4</v>
      </c>
      <c r="BS286" s="4" t="b">
        <f t="shared" si="335"/>
        <v>0</v>
      </c>
      <c r="BT286" s="4">
        <f t="shared" si="336"/>
        <v>0</v>
      </c>
      <c r="BU286" s="6">
        <f t="shared" si="354"/>
        <v>0</v>
      </c>
      <c r="BV286" s="1">
        <f t="shared" si="337"/>
        <v>0</v>
      </c>
      <c r="BW286" s="1">
        <f t="shared" si="338"/>
        <v>0</v>
      </c>
      <c r="BX286" s="116">
        <v>250</v>
      </c>
      <c r="BY286" s="7">
        <f t="shared" si="342"/>
        <v>0.2</v>
      </c>
      <c r="BZ286" s="7">
        <f>IF(ROUND((Weightings!$P$5*BY286^Weightings!$P$6*Weightings!$P$8 ),2)&lt;Weightings!$P$7,Weightings!$P$7,ROUND((Weightings!$P$5*BY286^Weightings!$P$6*Weightings!$P$8 ),2))</f>
        <v>1446.8</v>
      </c>
      <c r="CA286" s="8">
        <f>ROUND(BZ286/Weightings!$M$5,4)</f>
        <v>0.377</v>
      </c>
      <c r="CB286" s="1">
        <f t="shared" si="343"/>
        <v>18.899999999999999</v>
      </c>
      <c r="CC286" s="173">
        <v>0</v>
      </c>
      <c r="CD286" s="173">
        <v>0</v>
      </c>
      <c r="CE286" s="173">
        <v>0</v>
      </c>
      <c r="CF286" s="177">
        <v>0</v>
      </c>
      <c r="CG286" s="2">
        <f>AS286*Weightings!$M$5*CF286</f>
        <v>0</v>
      </c>
      <c r="CH286" s="2">
        <f t="shared" si="305"/>
        <v>0</v>
      </c>
      <c r="CI286" s="117">
        <f t="shared" si="339"/>
        <v>0.59799999999999998</v>
      </c>
      <c r="CJ286" s="4">
        <f t="shared" si="340"/>
        <v>1.1000000000000001</v>
      </c>
      <c r="CK286" s="1">
        <f t="shared" si="344"/>
        <v>17.899999999999999</v>
      </c>
      <c r="CL286" s="1">
        <f t="shared" si="345"/>
        <v>0</v>
      </c>
      <c r="CM286" s="1">
        <f t="shared" si="346"/>
        <v>0</v>
      </c>
      <c r="CN286" s="1">
        <f>IF(ISNA(VLOOKUP($CZ286,'Audit Values'!$A$2:$AE$439,2,FALSE)),'Preliminary SO66'!T283,VLOOKUP($CZ286,'Audit Values'!$A$2:$AE$439,20,FALSE))</f>
        <v>0</v>
      </c>
      <c r="CO286" s="1">
        <f t="shared" si="311"/>
        <v>0</v>
      </c>
      <c r="CP286" s="183">
        <v>0</v>
      </c>
      <c r="CQ286" s="1">
        <f t="shared" si="312"/>
        <v>0</v>
      </c>
      <c r="CR286" s="2">
        <f>IF(ISNA(VLOOKUP($CZ286,'Audit Values'!$A$2:$AE$439,2,FALSE)),'Preliminary SO66'!V283,VLOOKUP($CZ286,'Audit Values'!$A$2:$AE$439,22,FALSE))</f>
        <v>0</v>
      </c>
      <c r="CS286" s="1">
        <f t="shared" si="313"/>
        <v>0</v>
      </c>
      <c r="CT286" s="2">
        <f>IF(ISNA(VLOOKUP($CZ286,'Audit Values'!$A$2:$AE$439,2,FALSE)),'Preliminary SO66'!W283,VLOOKUP($CZ286,'Audit Values'!$A$2:$AE$439,23,FALSE))</f>
        <v>0</v>
      </c>
      <c r="CU286" s="1">
        <f t="shared" si="349"/>
        <v>0</v>
      </c>
      <c r="CV286" s="1">
        <f t="shared" si="350"/>
        <v>0</v>
      </c>
      <c r="CW286" s="176">
        <v>1910</v>
      </c>
      <c r="CX286" s="2">
        <f>IF(CW286&gt;0,Weightings!$M$11*AR286,0)</f>
        <v>151100</v>
      </c>
      <c r="CY286" s="2">
        <f t="shared" si="347"/>
        <v>1910</v>
      </c>
      <c r="CZ286" s="108" t="s">
        <v>578</v>
      </c>
    </row>
    <row r="287" spans="1:104">
      <c r="A287" s="82">
        <v>508</v>
      </c>
      <c r="B287" s="4" t="s">
        <v>31</v>
      </c>
      <c r="C287" s="4" t="s">
        <v>913</v>
      </c>
      <c r="D287" s="1">
        <v>955.5</v>
      </c>
      <c r="E287" s="1">
        <v>0</v>
      </c>
      <c r="F287" s="1">
        <f>D287+E287</f>
        <v>955.5</v>
      </c>
      <c r="G287" s="1">
        <v>957.5</v>
      </c>
      <c r="H287" s="1">
        <v>0</v>
      </c>
      <c r="I287" s="1">
        <f>G287+H287</f>
        <v>957.5</v>
      </c>
      <c r="J287" s="1">
        <f t="shared" si="316"/>
        <v>956.8</v>
      </c>
      <c r="K287" s="1">
        <f>IF(ISNA(VLOOKUP($CZ287,'Audit Values'!$A$2:$AE$439,2,FALSE)),'Preliminary SO66'!B284,VLOOKUP($CZ287,'Audit Values'!$A$2:$AE$439,31,FALSE))</f>
        <v>944.5</v>
      </c>
      <c r="L287" s="1">
        <f t="shared" si="317"/>
        <v>957.5</v>
      </c>
      <c r="M287" s="1">
        <f>IF(ISNA(VLOOKUP($CZ287,'Audit Values'!$A$2:$AE$439,2,FALSE)),'Preliminary SO66'!Z284,VLOOKUP($CZ287,'Audit Values'!$A$2:$AE$439,26,FALSE))</f>
        <v>0</v>
      </c>
      <c r="N287" s="1">
        <f t="shared" si="318"/>
        <v>957.5</v>
      </c>
      <c r="O287" s="1">
        <f>IF(ISNA(VLOOKUP($CZ287,'Audit Values'!$A$2:$AE$439,2,FALSE)),'Preliminary SO66'!C284,IF(VLOOKUP($CZ287,'Audit Values'!$A$2:$AE$439,28,FALSE)="",VLOOKUP($CZ287,'Audit Values'!$A$2:$AE$439,3,FALSE),VLOOKUP($CZ287,'Audit Values'!$A$2:$AE$439,28,FALSE)))</f>
        <v>15</v>
      </c>
      <c r="P287" s="109">
        <f t="shared" si="319"/>
        <v>959.5</v>
      </c>
      <c r="Q287" s="110">
        <f t="shared" si="320"/>
        <v>971.8</v>
      </c>
      <c r="R287" s="111">
        <f t="shared" si="321"/>
        <v>971.8</v>
      </c>
      <c r="S287" s="1">
        <f t="shared" si="322"/>
        <v>972.5</v>
      </c>
      <c r="T287" s="1">
        <f t="shared" si="348"/>
        <v>12.3</v>
      </c>
      <c r="U287" s="1">
        <f t="shared" si="323"/>
        <v>248.7</v>
      </c>
      <c r="V287" s="1">
        <f t="shared" si="308"/>
        <v>248.7</v>
      </c>
      <c r="W287" s="1">
        <f t="shared" si="309"/>
        <v>0</v>
      </c>
      <c r="X287" s="1">
        <f>IF(ISNA(VLOOKUP($CZ287,'Audit Values'!$A$2:$AE$439,2,FALSE)),'Preliminary SO66'!D284,VLOOKUP($CZ287,'Audit Values'!$A$2:$AE$439,4,FALSE))</f>
        <v>297.10000000000002</v>
      </c>
      <c r="Y287" s="1">
        <f>ROUND((X287/6)*Weightings!$M$6,1)</f>
        <v>24.8</v>
      </c>
      <c r="Z287" s="1">
        <f>IF(ISNA(VLOOKUP($CZ287,'Audit Values'!$A$2:$AE$439,2,FALSE)),'Preliminary SO66'!F284,VLOOKUP($CZ287,'Audit Values'!$A$2:$AE$439,6,FALSE))</f>
        <v>8.6999999999999993</v>
      </c>
      <c r="AA287" s="1">
        <f>ROUND((Z287/6)*Weightings!$M$7,1)</f>
        <v>0.6</v>
      </c>
      <c r="AB287" s="2">
        <f>IF(ISNA(VLOOKUP($CZ287,'Audit Values'!$A$2:$AE$439,2,FALSE)),'Preliminary SO66'!H284,VLOOKUP($CZ287,'Audit Values'!$A$2:$AE$439,8,FALSE))</f>
        <v>518</v>
      </c>
      <c r="AC287" s="1">
        <f>ROUND(AB287*Weightings!$M$8,1)</f>
        <v>236.2</v>
      </c>
      <c r="AD287" s="1">
        <f t="shared" si="304"/>
        <v>54.4</v>
      </c>
      <c r="AE287" s="185">
        <v>51</v>
      </c>
      <c r="AF287" s="1">
        <f>AE287*Weightings!$M$9</f>
        <v>2.4</v>
      </c>
      <c r="AG287" s="1">
        <f>IF(ISNA(VLOOKUP($CZ287,'Audit Values'!$A$2:$AE$439,2,FALSE)),'Preliminary SO66'!L284,VLOOKUP($CZ287,'Audit Values'!$A$2:$AE$439,12,FALSE))</f>
        <v>0</v>
      </c>
      <c r="AH287" s="1">
        <f>ROUND(AG287*Weightings!$M$10,1)</f>
        <v>0</v>
      </c>
      <c r="AI287" s="1">
        <f>IF(ISNA(VLOOKUP($CZ287,'Audit Values'!$A$2:$AE$439,2,FALSE)),'Preliminary SO66'!O284,VLOOKUP($CZ287,'Audit Values'!$A$2:$AE$439,15,FALSE))</f>
        <v>123</v>
      </c>
      <c r="AJ287" s="1">
        <f t="shared" si="324"/>
        <v>22.5</v>
      </c>
      <c r="AK287" s="1">
        <f>CC287/Weightings!$M$5</f>
        <v>0</v>
      </c>
      <c r="AL287" s="1">
        <f>CD287/Weightings!$M$5</f>
        <v>0</v>
      </c>
      <c r="AM287" s="1">
        <f>CH287/Weightings!$M$5</f>
        <v>0</v>
      </c>
      <c r="AN287" s="1">
        <f t="shared" si="310"/>
        <v>12.9</v>
      </c>
      <c r="AO287" s="1">
        <f>IF(ISNA(VLOOKUP($CZ287,'Audit Values'!$A$2:$AE$439,2,FALSE)),'Preliminary SO66'!X284,VLOOKUP($CZ287,'Audit Values'!$A$2:$AE$439,24,FALSE))</f>
        <v>0</v>
      </c>
      <c r="AP287" s="188">
        <v>914215.99999999988</v>
      </c>
      <c r="AQ287" s="113">
        <f>AP287/Weightings!$M$5</f>
        <v>238.2</v>
      </c>
      <c r="AR287" s="113">
        <f t="shared" si="325"/>
        <v>1575</v>
      </c>
      <c r="AS287" s="1">
        <f t="shared" si="326"/>
        <v>1813.2</v>
      </c>
      <c r="AT287" s="1">
        <f t="shared" si="327"/>
        <v>1813.2</v>
      </c>
      <c r="AU287" s="2">
        <f>CY287</f>
        <v>0</v>
      </c>
      <c r="AV287" s="82">
        <f>IF(ISNA(VLOOKUP($CZ287,'Audit Values'!$A$2:$AC$360,2,FALSE)),"",IF(AND(Weightings!H287&gt;0,VLOOKUP($CZ287,'Audit Values'!$A$2:$AC$360,29,FALSE)&lt;Weightings!H287),Weightings!H287,VLOOKUP($CZ287,'Audit Values'!$A$2:$AC$360,29,FALSE)))</f>
        <v>24</v>
      </c>
      <c r="AW287" s="82" t="str">
        <f>IF(ISNA(VLOOKUP($CZ287,'Audit Values'!$A$2:$AD$360,2,FALSE)),"",VLOOKUP($CZ287,'Audit Values'!$A$2:$AD$360,30,FALSE))</f>
        <v>A</v>
      </c>
      <c r="AX287" s="82" t="str">
        <f>IF(Weightings!G287="","",IF(Weightings!I287="Pending","PX","R"))</f>
        <v/>
      </c>
      <c r="AY287" s="114">
        <f>AR287*Weightings!$M$5+AU287</f>
        <v>6044850</v>
      </c>
      <c r="AZ287" s="2">
        <f>AT287*Weightings!$M$5+AU287</f>
        <v>6959062</v>
      </c>
      <c r="BA287" s="2">
        <f>IF(Weightings!G287&gt;0,Weightings!G287,'Preliminary SO66'!AB284)</f>
        <v>7154416</v>
      </c>
      <c r="BB287" s="2">
        <f t="shared" si="328"/>
        <v>6959062</v>
      </c>
      <c r="BC287" s="124"/>
      <c r="BD287" s="124">
        <f>Weightings!E287</f>
        <v>0</v>
      </c>
      <c r="BE287" s="124">
        <f>Weightings!F287</f>
        <v>0</v>
      </c>
      <c r="BF287" s="2">
        <f t="shared" si="329"/>
        <v>0</v>
      </c>
      <c r="BG287" s="2">
        <f t="shared" si="330"/>
        <v>6959062</v>
      </c>
      <c r="BH287" s="2">
        <f>MAX(ROUND(((AR287-AO287)*4433)+AP287,0),ROUND(((AR287-AO287)*4433)+Weightings!B287,0))</f>
        <v>7896191</v>
      </c>
      <c r="BI287" s="174">
        <v>0.3</v>
      </c>
      <c r="BJ287" s="2">
        <f t="shared" si="352"/>
        <v>2368857</v>
      </c>
      <c r="BK287" s="173">
        <v>1790000</v>
      </c>
      <c r="BL287" s="2">
        <f t="shared" si="303"/>
        <v>1790000</v>
      </c>
      <c r="BM287" s="3">
        <f t="shared" si="315"/>
        <v>0.22670000000000001</v>
      </c>
      <c r="BN287" s="1">
        <f t="shared" si="331"/>
        <v>0</v>
      </c>
      <c r="BO287" s="4" t="b">
        <f t="shared" si="332"/>
        <v>0</v>
      </c>
      <c r="BP287" s="5">
        <f t="shared" si="333"/>
        <v>0</v>
      </c>
      <c r="BQ287" s="6">
        <f t="shared" si="353"/>
        <v>0</v>
      </c>
      <c r="BR287" s="4">
        <f t="shared" si="334"/>
        <v>0</v>
      </c>
      <c r="BS287" s="4" t="b">
        <f t="shared" si="335"/>
        <v>1</v>
      </c>
      <c r="BT287" s="4">
        <f t="shared" si="336"/>
        <v>832.21879999999999</v>
      </c>
      <c r="BU287" s="6">
        <f t="shared" si="354"/>
        <v>0.25570500000000002</v>
      </c>
      <c r="BV287" s="1">
        <f t="shared" si="337"/>
        <v>248.7</v>
      </c>
      <c r="BW287" s="1">
        <f t="shared" si="338"/>
        <v>0</v>
      </c>
      <c r="BX287" s="116">
        <v>26</v>
      </c>
      <c r="BY287" s="7">
        <f t="shared" si="342"/>
        <v>4.7300000000000004</v>
      </c>
      <c r="BZ287" s="7">
        <f>IF(ROUND((Weightings!$P$5*BY287^Weightings!$P$6*Weightings!$P$8 ),2)&lt;Weightings!$P$7,Weightings!$P$7,ROUND((Weightings!$P$5*BY287^Weightings!$P$6*Weightings!$P$8 ),2))</f>
        <v>703.13</v>
      </c>
      <c r="CA287" s="8">
        <f>ROUND(BZ287/Weightings!$M$5,4)</f>
        <v>0.1832</v>
      </c>
      <c r="CB287" s="1">
        <f t="shared" si="343"/>
        <v>22.5</v>
      </c>
      <c r="CC287" s="173">
        <v>0</v>
      </c>
      <c r="CD287" s="173">
        <v>0</v>
      </c>
      <c r="CE287" s="173">
        <v>0</v>
      </c>
      <c r="CF287" s="177">
        <v>0</v>
      </c>
      <c r="CG287" s="2">
        <f>AS287*Weightings!$M$5*CF287</f>
        <v>0</v>
      </c>
      <c r="CH287" s="2">
        <f t="shared" si="305"/>
        <v>0</v>
      </c>
      <c r="CI287" s="117">
        <f t="shared" si="339"/>
        <v>0.53300000000000003</v>
      </c>
      <c r="CJ287" s="4">
        <f t="shared" si="340"/>
        <v>37.4</v>
      </c>
      <c r="CK287" s="1">
        <f t="shared" si="344"/>
        <v>54.4</v>
      </c>
      <c r="CL287" s="1">
        <f t="shared" si="345"/>
        <v>0</v>
      </c>
      <c r="CM287" s="1">
        <f t="shared" si="346"/>
        <v>0</v>
      </c>
      <c r="CN287" s="1">
        <f>IF(ISNA(VLOOKUP($CZ287,'Audit Values'!$A$2:$AE$439,2,FALSE)),'Preliminary SO66'!T284,VLOOKUP($CZ287,'Audit Values'!$A$2:$AE$439,20,FALSE))</f>
        <v>12.3</v>
      </c>
      <c r="CO287" s="1">
        <f t="shared" si="311"/>
        <v>12.9</v>
      </c>
      <c r="CP287" s="183">
        <v>0</v>
      </c>
      <c r="CQ287" s="1">
        <f t="shared" si="312"/>
        <v>0</v>
      </c>
      <c r="CR287" s="2">
        <f>IF(ISNA(VLOOKUP($CZ287,'Audit Values'!$A$2:$AE$439,2,FALSE)),'Preliminary SO66'!V284,VLOOKUP($CZ287,'Audit Values'!$A$2:$AE$439,22,FALSE))</f>
        <v>0</v>
      </c>
      <c r="CS287" s="1">
        <f t="shared" si="313"/>
        <v>0</v>
      </c>
      <c r="CT287" s="2">
        <f>IF(ISNA(VLOOKUP($CZ287,'Audit Values'!$A$2:$AE$439,2,FALSE)),'Preliminary SO66'!W284,VLOOKUP($CZ287,'Audit Values'!$A$2:$AE$439,23,FALSE))</f>
        <v>0</v>
      </c>
      <c r="CU287" s="1">
        <f t="shared" si="349"/>
        <v>0</v>
      </c>
      <c r="CV287" s="1">
        <f t="shared" si="350"/>
        <v>12.9</v>
      </c>
      <c r="CW287" s="176">
        <v>0</v>
      </c>
      <c r="CX287" s="2">
        <f>IF(CW287&gt;0,Weightings!$M$11*AR287,0)</f>
        <v>0</v>
      </c>
      <c r="CY287" s="2">
        <f t="shared" si="347"/>
        <v>0</v>
      </c>
      <c r="CZ287" s="108" t="s">
        <v>579</v>
      </c>
    </row>
    <row r="288" spans="1:104">
      <c r="A288" s="82">
        <v>509</v>
      </c>
      <c r="B288" s="4" t="s">
        <v>68</v>
      </c>
      <c r="C288" s="4" t="s">
        <v>914</v>
      </c>
      <c r="D288" s="1">
        <v>200.5</v>
      </c>
      <c r="E288" s="1">
        <v>0</v>
      </c>
      <c r="F288" s="1">
        <f>D288+E288</f>
        <v>200.5</v>
      </c>
      <c r="G288" s="1">
        <v>188</v>
      </c>
      <c r="H288" s="1">
        <v>0</v>
      </c>
      <c r="I288" s="1">
        <f>G288+H288</f>
        <v>188</v>
      </c>
      <c r="J288" s="1">
        <f t="shared" si="316"/>
        <v>171.5</v>
      </c>
      <c r="K288" s="1">
        <f>IF(ISNA(VLOOKUP($CZ288,'Audit Values'!$A$2:$AE$439,2,FALSE)),'Preliminary SO66'!B285,VLOOKUP($CZ288,'Audit Values'!$A$2:$AE$439,31,FALSE))</f>
        <v>171.5</v>
      </c>
      <c r="L288" s="1">
        <f t="shared" si="317"/>
        <v>188</v>
      </c>
      <c r="M288" s="1">
        <f>IF(ISNA(VLOOKUP($CZ288,'Audit Values'!$A$2:$AE$439,2,FALSE)),'Preliminary SO66'!Z285,VLOOKUP($CZ288,'Audit Values'!$A$2:$AE$439,26,FALSE))</f>
        <v>0</v>
      </c>
      <c r="N288" s="1">
        <f t="shared" si="318"/>
        <v>188</v>
      </c>
      <c r="O288" s="1">
        <f>IF(ISNA(VLOOKUP($CZ288,'Audit Values'!$A$2:$AE$439,2,FALSE)),'Preliminary SO66'!C285,IF(VLOOKUP($CZ288,'Audit Values'!$A$2:$AE$439,28,FALSE)="",VLOOKUP($CZ288,'Audit Values'!$A$2:$AE$439,3,FALSE),VLOOKUP($CZ288,'Audit Values'!$A$2:$AE$439,28,FALSE)))</f>
        <v>1.5</v>
      </c>
      <c r="P288" s="109">
        <f t="shared" si="319"/>
        <v>173</v>
      </c>
      <c r="Q288" s="110">
        <f t="shared" si="320"/>
        <v>173</v>
      </c>
      <c r="R288" s="111">
        <f t="shared" si="321"/>
        <v>173</v>
      </c>
      <c r="S288" s="1">
        <f t="shared" si="322"/>
        <v>189.5</v>
      </c>
      <c r="T288" s="1">
        <f t="shared" si="348"/>
        <v>0</v>
      </c>
      <c r="U288" s="1">
        <f t="shared" si="323"/>
        <v>147.30000000000001</v>
      </c>
      <c r="V288" s="1">
        <f t="shared" si="308"/>
        <v>147.30000000000001</v>
      </c>
      <c r="W288" s="1">
        <f t="shared" si="309"/>
        <v>0</v>
      </c>
      <c r="X288" s="1">
        <f>IF(ISNA(VLOOKUP($CZ288,'Audit Values'!$A$2:$AE$439,2,FALSE)),'Preliminary SO66'!D285,VLOOKUP($CZ288,'Audit Values'!$A$2:$AE$439,4,FALSE))</f>
        <v>32.299999999999997</v>
      </c>
      <c r="Y288" s="1">
        <f>ROUND((X288/6)*Weightings!$M$6,1)</f>
        <v>2.7</v>
      </c>
      <c r="Z288" s="1">
        <f>IF(ISNA(VLOOKUP($CZ288,'Audit Values'!$A$2:$AE$439,2,FALSE)),'Preliminary SO66'!F285,VLOOKUP($CZ288,'Audit Values'!$A$2:$AE$439,6,FALSE))</f>
        <v>0</v>
      </c>
      <c r="AA288" s="1">
        <f>ROUND((Z288/6)*Weightings!$M$7,1)</f>
        <v>0</v>
      </c>
      <c r="AB288" s="2">
        <f>IF(ISNA(VLOOKUP($CZ288,'Audit Values'!$A$2:$AE$439,2,FALSE)),'Preliminary SO66'!H285,VLOOKUP($CZ288,'Audit Values'!$A$2:$AE$439,8,FALSE))</f>
        <v>52</v>
      </c>
      <c r="AC288" s="1">
        <f>ROUND(AB288*Weightings!$M$8,1)</f>
        <v>23.7</v>
      </c>
      <c r="AD288" s="1">
        <f t="shared" si="304"/>
        <v>0</v>
      </c>
      <c r="AE288" s="185">
        <v>23</v>
      </c>
      <c r="AF288" s="1">
        <f>AE288*Weightings!$M$9</f>
        <v>1.1000000000000001</v>
      </c>
      <c r="AG288" s="1">
        <f>IF(ISNA(VLOOKUP($CZ288,'Audit Values'!$A$2:$AE$439,2,FALSE)),'Preliminary SO66'!L285,VLOOKUP($CZ288,'Audit Values'!$A$2:$AE$439,12,FALSE))</f>
        <v>0</v>
      </c>
      <c r="AH288" s="1">
        <f>ROUND(AG288*Weightings!$M$10,1)</f>
        <v>0</v>
      </c>
      <c r="AI288" s="1">
        <f>IF(ISNA(VLOOKUP($CZ288,'Audit Values'!$A$2:$AE$439,2,FALSE)),'Preliminary SO66'!O285,VLOOKUP($CZ288,'Audit Values'!$A$2:$AE$439,15,FALSE))</f>
        <v>75</v>
      </c>
      <c r="AJ288" s="1">
        <f t="shared" si="324"/>
        <v>22.9</v>
      </c>
      <c r="AK288" s="1">
        <f>CC288/Weightings!$M$5</f>
        <v>0</v>
      </c>
      <c r="AL288" s="1">
        <f>CD288/Weightings!$M$5</f>
        <v>0</v>
      </c>
      <c r="AM288" s="1">
        <f>CH288/Weightings!$M$5</f>
        <v>0</v>
      </c>
      <c r="AN288" s="1">
        <f t="shared" si="310"/>
        <v>0</v>
      </c>
      <c r="AO288" s="1">
        <f>IF(ISNA(VLOOKUP($CZ288,'Audit Values'!$A$2:$AE$439,2,FALSE)),'Preliminary SO66'!X285,VLOOKUP($CZ288,'Audit Values'!$A$2:$AE$439,24,FALSE))</f>
        <v>0</v>
      </c>
      <c r="AP288" s="188">
        <v>246897</v>
      </c>
      <c r="AQ288" s="113">
        <f>AP288/Weightings!$M$5</f>
        <v>64.3</v>
      </c>
      <c r="AR288" s="113">
        <f t="shared" si="325"/>
        <v>387.2</v>
      </c>
      <c r="AS288" s="1">
        <f t="shared" si="326"/>
        <v>451.5</v>
      </c>
      <c r="AT288" s="1">
        <f t="shared" si="327"/>
        <v>451.5</v>
      </c>
      <c r="AU288" s="2">
        <f>CY288</f>
        <v>0</v>
      </c>
      <c r="AV288" s="82">
        <f>IF(ISNA(VLOOKUP($CZ288,'Audit Values'!$A$2:$AC$360,2,FALSE)),"",IF(AND(Weightings!H288&gt;0,VLOOKUP($CZ288,'Audit Values'!$A$2:$AC$360,29,FALSE)&lt;Weightings!H288),Weightings!H288,VLOOKUP($CZ288,'Audit Values'!$A$2:$AC$360,29,FALSE)))</f>
        <v>24</v>
      </c>
      <c r="AW288" s="82" t="str">
        <f>IF(ISNA(VLOOKUP($CZ288,'Audit Values'!$A$2:$AD$360,2,FALSE)),"",VLOOKUP($CZ288,'Audit Values'!$A$2:$AD$360,30,FALSE))</f>
        <v>A</v>
      </c>
      <c r="AX288" s="82" t="str">
        <f>IF(Weightings!G288="","",IF(Weightings!I288="Pending","PX","R"))</f>
        <v/>
      </c>
      <c r="AY288" s="114">
        <f>AR288*Weightings!$M$5+AU288</f>
        <v>1486074</v>
      </c>
      <c r="AZ288" s="2">
        <f>AT288*Weightings!$M$5+AU288</f>
        <v>1732857</v>
      </c>
      <c r="BA288" s="2">
        <f>IF(Weightings!G288&gt;0,Weightings!G288,'Preliminary SO66'!AB285)</f>
        <v>1814223</v>
      </c>
      <c r="BB288" s="2">
        <f t="shared" si="328"/>
        <v>1732857</v>
      </c>
      <c r="BC288" s="124"/>
      <c r="BD288" s="124">
        <f>Weightings!E288</f>
        <v>0</v>
      </c>
      <c r="BE288" s="124">
        <f>Weightings!F288</f>
        <v>0</v>
      </c>
      <c r="BF288" s="2">
        <f t="shared" si="329"/>
        <v>0</v>
      </c>
      <c r="BG288" s="2">
        <f t="shared" si="330"/>
        <v>1732857</v>
      </c>
      <c r="BH288" s="2">
        <f>MAX(ROUND(((AR288-AO288)*4433)+AP288,0),ROUND(((AR288-AO288)*4433)+Weightings!B288,0))</f>
        <v>2031344</v>
      </c>
      <c r="BI288" s="174">
        <v>0.3</v>
      </c>
      <c r="BJ288" s="2">
        <f t="shared" si="352"/>
        <v>609403</v>
      </c>
      <c r="BK288" s="173">
        <v>613959</v>
      </c>
      <c r="BL288" s="2">
        <f t="shared" si="303"/>
        <v>609403</v>
      </c>
      <c r="BM288" s="3">
        <f t="shared" si="315"/>
        <v>0.3</v>
      </c>
      <c r="BN288" s="1">
        <f t="shared" si="331"/>
        <v>0</v>
      </c>
      <c r="BO288" s="4" t="b">
        <f t="shared" si="332"/>
        <v>1</v>
      </c>
      <c r="BP288" s="5">
        <f t="shared" si="333"/>
        <v>864.12300000000005</v>
      </c>
      <c r="BQ288" s="6">
        <f t="shared" si="353"/>
        <v>0.77709099999999998</v>
      </c>
      <c r="BR288" s="4">
        <f t="shared" si="334"/>
        <v>147.30000000000001</v>
      </c>
      <c r="BS288" s="4" t="b">
        <f t="shared" si="335"/>
        <v>0</v>
      </c>
      <c r="BT288" s="4">
        <f t="shared" si="336"/>
        <v>0</v>
      </c>
      <c r="BU288" s="6">
        <f t="shared" si="354"/>
        <v>0</v>
      </c>
      <c r="BV288" s="1">
        <f t="shared" si="337"/>
        <v>0</v>
      </c>
      <c r="BW288" s="1">
        <f t="shared" si="338"/>
        <v>0</v>
      </c>
      <c r="BX288" s="116">
        <v>150</v>
      </c>
      <c r="BY288" s="7">
        <f t="shared" si="342"/>
        <v>0.5</v>
      </c>
      <c r="BZ288" s="7">
        <f>IF(ROUND((Weightings!$P$5*BY288^Weightings!$P$6*Weightings!$P$8 ),2)&lt;Weightings!$P$7,Weightings!$P$7,ROUND((Weightings!$P$5*BY288^Weightings!$P$6*Weightings!$P$8 ),2))</f>
        <v>1173.92</v>
      </c>
      <c r="CA288" s="8">
        <f>ROUND(BZ288/Weightings!$M$5,4)</f>
        <v>0.30590000000000001</v>
      </c>
      <c r="CB288" s="1">
        <f t="shared" si="343"/>
        <v>22.9</v>
      </c>
      <c r="CC288" s="173">
        <v>0</v>
      </c>
      <c r="CD288" s="173">
        <v>0</v>
      </c>
      <c r="CE288" s="173">
        <v>0</v>
      </c>
      <c r="CF288" s="177">
        <v>0</v>
      </c>
      <c r="CG288" s="2">
        <f>AS288*Weightings!$M$5*CF288</f>
        <v>0</v>
      </c>
      <c r="CH288" s="2">
        <f t="shared" si="305"/>
        <v>0</v>
      </c>
      <c r="CI288" s="117">
        <f t="shared" si="339"/>
        <v>0.27400000000000002</v>
      </c>
      <c r="CJ288" s="4">
        <f t="shared" si="340"/>
        <v>1.3</v>
      </c>
      <c r="CK288" s="1">
        <f t="shared" si="344"/>
        <v>0</v>
      </c>
      <c r="CL288" s="1">
        <f t="shared" si="345"/>
        <v>0</v>
      </c>
      <c r="CM288" s="1">
        <f t="shared" si="346"/>
        <v>0</v>
      </c>
      <c r="CN288" s="1">
        <f>IF(ISNA(VLOOKUP($CZ288,'Audit Values'!$A$2:$AE$439,2,FALSE)),'Preliminary SO66'!T285,VLOOKUP($CZ288,'Audit Values'!$A$2:$AE$439,20,FALSE))</f>
        <v>0</v>
      </c>
      <c r="CO288" s="1">
        <f t="shared" si="311"/>
        <v>0</v>
      </c>
      <c r="CP288" s="183">
        <v>0</v>
      </c>
      <c r="CQ288" s="1">
        <f t="shared" si="312"/>
        <v>0</v>
      </c>
      <c r="CR288" s="2">
        <f>IF(ISNA(VLOOKUP($CZ288,'Audit Values'!$A$2:$AE$439,2,FALSE)),'Preliminary SO66'!V285,VLOOKUP($CZ288,'Audit Values'!$A$2:$AE$439,22,FALSE))</f>
        <v>0</v>
      </c>
      <c r="CS288" s="1">
        <f t="shared" si="313"/>
        <v>0</v>
      </c>
      <c r="CT288" s="2">
        <f>IF(ISNA(VLOOKUP($CZ288,'Audit Values'!$A$2:$AE$439,2,FALSE)),'Preliminary SO66'!W285,VLOOKUP($CZ288,'Audit Values'!$A$2:$AE$439,23,FALSE))</f>
        <v>0</v>
      </c>
      <c r="CU288" s="1">
        <f t="shared" si="349"/>
        <v>0</v>
      </c>
      <c r="CV288" s="1">
        <f t="shared" si="350"/>
        <v>0</v>
      </c>
      <c r="CW288" s="176">
        <v>0</v>
      </c>
      <c r="CX288" s="2">
        <f>IF(CW288&gt;0,Weightings!$M$11*AR288,0)</f>
        <v>0</v>
      </c>
      <c r="CY288" s="2">
        <f t="shared" si="347"/>
        <v>0</v>
      </c>
      <c r="CZ288" s="108" t="s">
        <v>580</v>
      </c>
    </row>
    <row r="289" spans="1:104">
      <c r="A289" s="82">
        <v>511</v>
      </c>
      <c r="B289" s="4" t="s">
        <v>70</v>
      </c>
      <c r="C289" s="4" t="s">
        <v>915</v>
      </c>
      <c r="D289" s="1">
        <v>149</v>
      </c>
      <c r="E289" s="1">
        <v>0</v>
      </c>
      <c r="F289" s="1">
        <f>D289+E289</f>
        <v>149</v>
      </c>
      <c r="G289" s="1">
        <v>155.5</v>
      </c>
      <c r="H289" s="1">
        <v>0</v>
      </c>
      <c r="I289" s="1">
        <f>G289+H289</f>
        <v>155.5</v>
      </c>
      <c r="J289" s="1">
        <f t="shared" si="316"/>
        <v>157.5</v>
      </c>
      <c r="K289" s="1">
        <f>IF(ISNA(VLOOKUP($CZ289,'Audit Values'!$A$2:$AE$439,2,FALSE)),'Preliminary SO66'!B286,VLOOKUP($CZ289,'Audit Values'!$A$2:$AE$439,31,FALSE))</f>
        <v>157.5</v>
      </c>
      <c r="L289" s="1">
        <f t="shared" si="317"/>
        <v>157.5</v>
      </c>
      <c r="M289" s="1">
        <f>IF(ISNA(VLOOKUP($CZ289,'Audit Values'!$A$2:$AE$439,2,FALSE)),'Preliminary SO66'!Z286,VLOOKUP($CZ289,'Audit Values'!$A$2:$AE$439,26,FALSE))</f>
        <v>0</v>
      </c>
      <c r="N289" s="1">
        <f t="shared" si="318"/>
        <v>157.5</v>
      </c>
      <c r="O289" s="1">
        <f>IF(ISNA(VLOOKUP($CZ289,'Audit Values'!$A$2:$AE$439,2,FALSE)),'Preliminary SO66'!C286,IF(VLOOKUP($CZ289,'Audit Values'!$A$2:$AE$439,28,FALSE)="",VLOOKUP($CZ289,'Audit Values'!$A$2:$AE$439,3,FALSE),VLOOKUP($CZ289,'Audit Values'!$A$2:$AE$439,28,FALSE)))</f>
        <v>0</v>
      </c>
      <c r="P289" s="109">
        <f t="shared" si="319"/>
        <v>157.5</v>
      </c>
      <c r="Q289" s="110">
        <f t="shared" si="320"/>
        <v>157.5</v>
      </c>
      <c r="R289" s="111">
        <f t="shared" si="321"/>
        <v>157.5</v>
      </c>
      <c r="S289" s="1">
        <f t="shared" si="322"/>
        <v>157.5</v>
      </c>
      <c r="T289" s="1">
        <f t="shared" si="348"/>
        <v>0</v>
      </c>
      <c r="U289" s="1">
        <f t="shared" si="323"/>
        <v>135.80000000000001</v>
      </c>
      <c r="V289" s="1">
        <f t="shared" si="308"/>
        <v>135.80000000000001</v>
      </c>
      <c r="W289" s="1">
        <f t="shared" si="309"/>
        <v>0</v>
      </c>
      <c r="X289" s="1">
        <f>IF(ISNA(VLOOKUP($CZ289,'Audit Values'!$A$2:$AE$439,2,FALSE)),'Preliminary SO66'!D286,VLOOKUP($CZ289,'Audit Values'!$A$2:$AE$439,4,FALSE))</f>
        <v>0</v>
      </c>
      <c r="Y289" s="1">
        <f>ROUND((X289/6)*Weightings!$M$6,1)</f>
        <v>0</v>
      </c>
      <c r="Z289" s="1">
        <f>IF(ISNA(VLOOKUP($CZ289,'Audit Values'!$A$2:$AE$439,2,FALSE)),'Preliminary SO66'!F286,VLOOKUP($CZ289,'Audit Values'!$A$2:$AE$439,6,FALSE))</f>
        <v>0</v>
      </c>
      <c r="AA289" s="1">
        <f>ROUND((Z289/6)*Weightings!$M$7,1)</f>
        <v>0</v>
      </c>
      <c r="AB289" s="2">
        <f>IF(ISNA(VLOOKUP($CZ289,'Audit Values'!$A$2:$AE$439,2,FALSE)),'Preliminary SO66'!H286,VLOOKUP($CZ289,'Audit Values'!$A$2:$AE$439,8,FALSE))</f>
        <v>52</v>
      </c>
      <c r="AC289" s="1">
        <f>ROUND(AB289*Weightings!$M$8,1)</f>
        <v>23.7</v>
      </c>
      <c r="AD289" s="1">
        <f t="shared" si="304"/>
        <v>0</v>
      </c>
      <c r="AE289" s="185">
        <v>6</v>
      </c>
      <c r="AF289" s="1">
        <f>AE289*Weightings!$M$9</f>
        <v>0.3</v>
      </c>
      <c r="AG289" s="1">
        <f>IF(ISNA(VLOOKUP($CZ289,'Audit Values'!$A$2:$AE$439,2,FALSE)),'Preliminary SO66'!L286,VLOOKUP($CZ289,'Audit Values'!$A$2:$AE$439,12,FALSE))</f>
        <v>0</v>
      </c>
      <c r="AH289" s="1">
        <f>ROUND(AG289*Weightings!$M$10,1)</f>
        <v>0</v>
      </c>
      <c r="AI289" s="1">
        <f>IF(ISNA(VLOOKUP($CZ289,'Audit Values'!$A$2:$AE$439,2,FALSE)),'Preliminary SO66'!O286,VLOOKUP($CZ289,'Audit Values'!$A$2:$AE$439,15,FALSE))</f>
        <v>16.5</v>
      </c>
      <c r="AJ289" s="1">
        <f t="shared" si="324"/>
        <v>6.9</v>
      </c>
      <c r="AK289" s="1">
        <f>CC289/Weightings!$M$5</f>
        <v>0</v>
      </c>
      <c r="AL289" s="1">
        <f>CD289/Weightings!$M$5</f>
        <v>0</v>
      </c>
      <c r="AM289" s="1">
        <f>CH289/Weightings!$M$5</f>
        <v>0</v>
      </c>
      <c r="AN289" s="1">
        <f t="shared" si="310"/>
        <v>0</v>
      </c>
      <c r="AO289" s="1">
        <f>IF(ISNA(VLOOKUP($CZ289,'Audit Values'!$A$2:$AE$439,2,FALSE)),'Preliminary SO66'!X286,VLOOKUP($CZ289,'Audit Values'!$A$2:$AE$439,24,FALSE))</f>
        <v>0</v>
      </c>
      <c r="AP289" s="188">
        <v>180814</v>
      </c>
      <c r="AQ289" s="113">
        <f>AP289/Weightings!$M$5</f>
        <v>47.1</v>
      </c>
      <c r="AR289" s="113">
        <f t="shared" si="325"/>
        <v>324.2</v>
      </c>
      <c r="AS289" s="1">
        <f t="shared" si="326"/>
        <v>371.3</v>
      </c>
      <c r="AT289" s="1">
        <f t="shared" si="327"/>
        <v>371.3</v>
      </c>
      <c r="AU289" s="2">
        <f>CY289</f>
        <v>0</v>
      </c>
      <c r="AV289" s="82">
        <f>IF(ISNA(VLOOKUP($CZ289,'Audit Values'!$A$2:$AC$360,2,FALSE)),"",IF(AND(Weightings!H289&gt;0,VLOOKUP($CZ289,'Audit Values'!$A$2:$AC$360,29,FALSE)&lt;Weightings!H289),Weightings!H289,VLOOKUP($CZ289,'Audit Values'!$A$2:$AC$360,29,FALSE)))</f>
        <v>19</v>
      </c>
      <c r="AW289" s="82" t="str">
        <f>IF(ISNA(VLOOKUP($CZ289,'Audit Values'!$A$2:$AD$360,2,FALSE)),"",VLOOKUP($CZ289,'Audit Values'!$A$2:$AD$360,30,FALSE))</f>
        <v>A</v>
      </c>
      <c r="AX289" s="82" t="str">
        <f>IF(Weightings!G289="","",IF(Weightings!I289="Pending","PX","R"))</f>
        <v/>
      </c>
      <c r="AY289" s="114">
        <f>AR289*Weightings!$M$5+AU289</f>
        <v>1244280</v>
      </c>
      <c r="AZ289" s="2">
        <f>AT289*Weightings!$M$5+AU289</f>
        <v>1425049</v>
      </c>
      <c r="BA289" s="2">
        <f>IF(Weightings!G289&gt;0,Weightings!G289,'Preliminary SO66'!AB286)</f>
        <v>1487376</v>
      </c>
      <c r="BB289" s="2">
        <f t="shared" si="328"/>
        <v>1425049</v>
      </c>
      <c r="BC289" s="124"/>
      <c r="BD289" s="124">
        <f>Weightings!E289</f>
        <v>0</v>
      </c>
      <c r="BE289" s="124">
        <f>Weightings!F289</f>
        <v>0</v>
      </c>
      <c r="BF289" s="2">
        <f t="shared" si="329"/>
        <v>0</v>
      </c>
      <c r="BG289" s="2">
        <f t="shared" si="330"/>
        <v>1425049</v>
      </c>
      <c r="BH289" s="2">
        <f>MAX(ROUND(((AR289-AO289)*4433)+AP289,0),ROUND(((AR289-AO289)*4433)+Weightings!B289,0))</f>
        <v>1617993</v>
      </c>
      <c r="BI289" s="174">
        <v>0.3</v>
      </c>
      <c r="BJ289" s="2">
        <f t="shared" si="352"/>
        <v>485398</v>
      </c>
      <c r="BK289" s="173">
        <v>410000</v>
      </c>
      <c r="BL289" s="2">
        <f t="shared" si="303"/>
        <v>410000</v>
      </c>
      <c r="BM289" s="3">
        <f t="shared" si="315"/>
        <v>0.25340000000000001</v>
      </c>
      <c r="BN289" s="1">
        <f t="shared" si="331"/>
        <v>0</v>
      </c>
      <c r="BO289" s="4" t="b">
        <f t="shared" si="332"/>
        <v>1</v>
      </c>
      <c r="BP289" s="5">
        <f t="shared" si="333"/>
        <v>555.16300000000001</v>
      </c>
      <c r="BQ289" s="6">
        <f t="shared" si="353"/>
        <v>0.86191399999999996</v>
      </c>
      <c r="BR289" s="4">
        <f t="shared" si="334"/>
        <v>135.80000000000001</v>
      </c>
      <c r="BS289" s="4" t="b">
        <f t="shared" si="335"/>
        <v>0</v>
      </c>
      <c r="BT289" s="4">
        <f t="shared" si="336"/>
        <v>0</v>
      </c>
      <c r="BU289" s="6">
        <f t="shared" si="354"/>
        <v>0</v>
      </c>
      <c r="BV289" s="1">
        <f t="shared" si="337"/>
        <v>0</v>
      </c>
      <c r="BW289" s="1">
        <f t="shared" si="338"/>
        <v>0</v>
      </c>
      <c r="BX289" s="116">
        <v>126</v>
      </c>
      <c r="BY289" s="7">
        <f t="shared" si="342"/>
        <v>0.13</v>
      </c>
      <c r="BZ289" s="7">
        <f>IF(ROUND((Weightings!$P$5*BY289^Weightings!$P$6*Weightings!$P$8 ),2)&lt;Weightings!$P$7,Weightings!$P$7,ROUND((Weightings!$P$5*BY289^Weightings!$P$6*Weightings!$P$8 ),2))</f>
        <v>1596.19</v>
      </c>
      <c r="CA289" s="8">
        <f>ROUND(BZ289/Weightings!$M$5,4)</f>
        <v>0.41589999999999999</v>
      </c>
      <c r="CB289" s="1">
        <f t="shared" si="343"/>
        <v>6.9</v>
      </c>
      <c r="CC289" s="173">
        <v>0</v>
      </c>
      <c r="CD289" s="173">
        <v>0</v>
      </c>
      <c r="CE289" s="173">
        <v>0</v>
      </c>
      <c r="CF289" s="177">
        <v>0</v>
      </c>
      <c r="CG289" s="2">
        <f>AS289*Weightings!$M$5*CF289</f>
        <v>0</v>
      </c>
      <c r="CH289" s="2">
        <f t="shared" si="305"/>
        <v>0</v>
      </c>
      <c r="CI289" s="117">
        <f t="shared" si="339"/>
        <v>0.33</v>
      </c>
      <c r="CJ289" s="4">
        <f t="shared" si="340"/>
        <v>1.3</v>
      </c>
      <c r="CK289" s="1">
        <f t="shared" si="344"/>
        <v>0</v>
      </c>
      <c r="CL289" s="1">
        <f t="shared" si="345"/>
        <v>0</v>
      </c>
      <c r="CM289" s="1">
        <f t="shared" si="346"/>
        <v>0</v>
      </c>
      <c r="CN289" s="1">
        <f>IF(ISNA(VLOOKUP($CZ289,'Audit Values'!$A$2:$AE$439,2,FALSE)),'Preliminary SO66'!T286,VLOOKUP($CZ289,'Audit Values'!$A$2:$AE$439,20,FALSE))</f>
        <v>0</v>
      </c>
      <c r="CO289" s="1">
        <f t="shared" si="311"/>
        <v>0</v>
      </c>
      <c r="CP289" s="183">
        <v>0</v>
      </c>
      <c r="CQ289" s="1">
        <f t="shared" si="312"/>
        <v>0</v>
      </c>
      <c r="CR289" s="2">
        <f>IF(ISNA(VLOOKUP($CZ289,'Audit Values'!$A$2:$AE$439,2,FALSE)),'Preliminary SO66'!V286,VLOOKUP($CZ289,'Audit Values'!$A$2:$AE$439,22,FALSE))</f>
        <v>0</v>
      </c>
      <c r="CS289" s="1">
        <f t="shared" si="313"/>
        <v>0</v>
      </c>
      <c r="CT289" s="2">
        <f>IF(ISNA(VLOOKUP($CZ289,'Audit Values'!$A$2:$AE$439,2,FALSE)),'Preliminary SO66'!W286,VLOOKUP($CZ289,'Audit Values'!$A$2:$AE$439,23,FALSE))</f>
        <v>0</v>
      </c>
      <c r="CU289" s="1">
        <f t="shared" si="349"/>
        <v>0</v>
      </c>
      <c r="CV289" s="1">
        <f t="shared" si="350"/>
        <v>0</v>
      </c>
      <c r="CW289" s="176">
        <v>0</v>
      </c>
      <c r="CX289" s="2">
        <f>IF(CW289&gt;0,Weightings!$M$11*AR289,0)</f>
        <v>0</v>
      </c>
      <c r="CY289" s="2">
        <f t="shared" si="347"/>
        <v>0</v>
      </c>
      <c r="CZ289" s="108" t="s">
        <v>581</v>
      </c>
    </row>
    <row r="290" spans="1:104" ht="13.5" thickBot="1">
      <c r="A290" s="82">
        <v>512</v>
      </c>
      <c r="B290" s="4" t="s">
        <v>24</v>
      </c>
      <c r="C290" s="4" t="s">
        <v>918</v>
      </c>
      <c r="D290" s="1">
        <v>26485.7</v>
      </c>
      <c r="E290" s="1">
        <v>0</v>
      </c>
      <c r="F290" s="1">
        <f>D290+E290</f>
        <v>26485.7</v>
      </c>
      <c r="G290" s="1">
        <v>26185.9</v>
      </c>
      <c r="H290" s="1">
        <v>0</v>
      </c>
      <c r="I290" s="1">
        <f>G290+H290</f>
        <v>26185.9</v>
      </c>
      <c r="J290" s="1">
        <f t="shared" si="316"/>
        <v>26100</v>
      </c>
      <c r="K290" s="1">
        <f>IF(ISNA(VLOOKUP($CZ290,'Audit Values'!$A$2:$AE$439,2,FALSE)),'Preliminary SO66'!B287,VLOOKUP($CZ290,'Audit Values'!$A$2:$AE$439,31,FALSE))</f>
        <v>26100</v>
      </c>
      <c r="L290" s="1">
        <f t="shared" si="317"/>
        <v>26257.200000000001</v>
      </c>
      <c r="M290" s="1">
        <f>IF(ISNA(VLOOKUP($CZ290,'Audit Values'!$A$2:$AE$439,2,FALSE)),'Preliminary SO66'!Z287,VLOOKUP($CZ290,'Audit Values'!$A$2:$AE$439,26,FALSE))</f>
        <v>0</v>
      </c>
      <c r="N290" s="1">
        <f t="shared" si="318"/>
        <v>26257.200000000001</v>
      </c>
      <c r="O290" s="1">
        <f>IF(ISNA(VLOOKUP($CZ290,'Audit Values'!$A$2:$AE$439,2,FALSE)),'Preliminary SO66'!C287,IF(VLOOKUP($CZ290,'Audit Values'!$A$2:$AE$439,28,FALSE)="",VLOOKUP($CZ290,'Audit Values'!$A$2:$AE$439,3,FALSE),VLOOKUP($CZ290,'Audit Values'!$A$2:$AE$439,28,FALSE)))</f>
        <v>51.5</v>
      </c>
      <c r="P290" s="109">
        <f t="shared" si="319"/>
        <v>26151.5</v>
      </c>
      <c r="Q290" s="110">
        <f t="shared" si="320"/>
        <v>26151.5</v>
      </c>
      <c r="R290" s="111">
        <f t="shared" si="321"/>
        <v>26151.5</v>
      </c>
      <c r="S290" s="1">
        <f t="shared" si="322"/>
        <v>26308.7</v>
      </c>
      <c r="T290" s="1">
        <f t="shared" si="348"/>
        <v>0</v>
      </c>
      <c r="U290" s="1">
        <f t="shared" si="323"/>
        <v>921.9</v>
      </c>
      <c r="V290" s="1">
        <f t="shared" si="308"/>
        <v>0</v>
      </c>
      <c r="W290" s="1">
        <f t="shared" si="309"/>
        <v>921.9</v>
      </c>
      <c r="X290" s="1">
        <f>IF(ISNA(VLOOKUP($CZ290,'Audit Values'!$A$2:$AE$439,2,FALSE)),'Preliminary SO66'!D287,VLOOKUP($CZ290,'Audit Values'!$A$2:$AE$439,4,FALSE))</f>
        <v>3758</v>
      </c>
      <c r="Y290" s="1">
        <f>ROUND((X290/6)*Weightings!$M$6,1)</f>
        <v>313.2</v>
      </c>
      <c r="Z290" s="1">
        <f>IF(ISNA(VLOOKUP($CZ290,'Audit Values'!$A$2:$AE$439,2,FALSE)),'Preliminary SO66'!F287,VLOOKUP($CZ290,'Audit Values'!$A$2:$AE$439,6,FALSE))</f>
        <v>6982.3</v>
      </c>
      <c r="AA290" s="1">
        <f>ROUND((Z290/6)*Weightings!$M$7,1)</f>
        <v>459.7</v>
      </c>
      <c r="AB290" s="2">
        <f>IF(ISNA(VLOOKUP($CZ290,'Audit Values'!$A$2:$AE$439,2,FALSE)),'Preliminary SO66'!H287,VLOOKUP($CZ290,'Audit Values'!$A$2:$AE$439,8,FALSE))</f>
        <v>8016</v>
      </c>
      <c r="AC290" s="1">
        <f>ROUND(AB290*Weightings!$M$8,1)</f>
        <v>3655.3</v>
      </c>
      <c r="AD290" s="1">
        <f t="shared" si="304"/>
        <v>0</v>
      </c>
      <c r="AE290" s="184">
        <v>1480</v>
      </c>
      <c r="AF290" s="1">
        <f>AE290*Weightings!$M$9</f>
        <v>68.8</v>
      </c>
      <c r="AG290" s="1">
        <f>IF(ISNA(VLOOKUP($CZ290,'Audit Values'!$A$2:$AE$439,2,FALSE)),'Preliminary SO66'!L287,VLOOKUP($CZ290,'Audit Values'!$A$2:$AE$439,12,FALSE))</f>
        <v>914.6</v>
      </c>
      <c r="AH290" s="1">
        <f>ROUND(AG290*Weightings!$M$10,1)</f>
        <v>228.7</v>
      </c>
      <c r="AI290" s="1">
        <f>IF(ISNA(VLOOKUP($CZ290,'Audit Values'!$A$2:$AE$439,2,FALSE)),'Preliminary SO66'!O287,VLOOKUP($CZ290,'Audit Values'!$A$2:$AE$439,15,FALSE))</f>
        <v>5235</v>
      </c>
      <c r="AJ290" s="1">
        <f t="shared" si="324"/>
        <v>797.8</v>
      </c>
      <c r="AK290" s="1">
        <f>CC290/Weightings!$M$5</f>
        <v>0</v>
      </c>
      <c r="AL290" s="1">
        <f>CD290/Weightings!$M$5</f>
        <v>830.4</v>
      </c>
      <c r="AM290" s="1">
        <f>CH290/Weightings!$M$5</f>
        <v>1392.8</v>
      </c>
      <c r="AN290" s="1">
        <f t="shared" si="310"/>
        <v>0</v>
      </c>
      <c r="AO290" s="1">
        <f>IF(ISNA(VLOOKUP($CZ290,'Audit Values'!$A$2:$AE$439,2,FALSE)),'Preliminary SO66'!X287,VLOOKUP($CZ290,'Audit Values'!$A$2:$AE$439,24,FALSE))</f>
        <v>1</v>
      </c>
      <c r="AP290" s="188">
        <v>19171596</v>
      </c>
      <c r="AQ290" s="113">
        <f>AP290/Weightings!$M$5</f>
        <v>4995.2</v>
      </c>
      <c r="AR290" s="113">
        <f t="shared" si="325"/>
        <v>34978.300000000003</v>
      </c>
      <c r="AS290" s="1">
        <f t="shared" si="326"/>
        <v>38580.699999999997</v>
      </c>
      <c r="AT290" s="1">
        <f t="shared" si="327"/>
        <v>39973.5</v>
      </c>
      <c r="AU290" s="2">
        <f>CY290</f>
        <v>0</v>
      </c>
      <c r="AV290" s="82">
        <f>IF(ISNA(VLOOKUP($CZ290,'Audit Values'!$A$2:$AC$360,2,FALSE)),"",IF(AND(Weightings!H290&gt;0,VLOOKUP($CZ290,'Audit Values'!$A$2:$AC$360,29,FALSE)&lt;Weightings!H290),Weightings!H290,VLOOKUP($CZ290,'Audit Values'!$A$2:$AC$360,29,FALSE)))</f>
        <v>5</v>
      </c>
      <c r="AW290" s="82" t="str">
        <f>IF(ISNA(VLOOKUP($CZ290,'Audit Values'!$A$2:$AD$360,2,FALSE)),"",VLOOKUP($CZ290,'Audit Values'!$A$2:$AD$360,30,FALSE))</f>
        <v>A</v>
      </c>
      <c r="AX290" s="82" t="str">
        <f>IF(Weightings!G290="","",IF(Weightings!I290="Pending","PX","R"))</f>
        <v/>
      </c>
      <c r="AY290" s="114">
        <f>AR290*Weightings!$M$5+AU290</f>
        <v>134246715</v>
      </c>
      <c r="AZ290" s="2">
        <f>AT290*Weightings!$M$5+AU290</f>
        <v>153418293</v>
      </c>
      <c r="BA290" s="2">
        <f>IF(Weightings!G290&gt;0,Weightings!G290,'Preliminary SO66'!AB287)</f>
        <v>155198357</v>
      </c>
      <c r="BB290" s="2">
        <f t="shared" si="328"/>
        <v>153418293</v>
      </c>
      <c r="BC290" s="124"/>
      <c r="BD290" s="124">
        <f>Weightings!E290</f>
        <v>0</v>
      </c>
      <c r="BE290" s="124">
        <f>Weightings!F290</f>
        <v>0</v>
      </c>
      <c r="BF290" s="2">
        <f t="shared" si="329"/>
        <v>0</v>
      </c>
      <c r="BG290" s="2">
        <f t="shared" si="330"/>
        <v>153418293</v>
      </c>
      <c r="BH290" s="2">
        <f>MAX(ROUND(((AR290-AO290)*4433)+AP290,0),ROUND(((AR290-AO290)*4433)+Weightings!B290,0))</f>
        <v>181157677</v>
      </c>
      <c r="BI290" s="174">
        <v>0.31</v>
      </c>
      <c r="BJ290" s="2">
        <f t="shared" si="352"/>
        <v>56158880</v>
      </c>
      <c r="BK290" s="173">
        <v>56553834</v>
      </c>
      <c r="BL290" s="2">
        <f t="shared" si="303"/>
        <v>56158880</v>
      </c>
      <c r="BM290" s="3">
        <f t="shared" si="315"/>
        <v>0.31</v>
      </c>
      <c r="BN290" s="1">
        <f t="shared" si="331"/>
        <v>0</v>
      </c>
      <c r="BO290" s="4" t="b">
        <f t="shared" si="332"/>
        <v>0</v>
      </c>
      <c r="BP290" s="5">
        <f t="shared" si="333"/>
        <v>0</v>
      </c>
      <c r="BQ290" s="6">
        <f t="shared" si="353"/>
        <v>0</v>
      </c>
      <c r="BR290" s="4">
        <f t="shared" si="334"/>
        <v>0</v>
      </c>
      <c r="BS290" s="4" t="b">
        <f t="shared" si="335"/>
        <v>0</v>
      </c>
      <c r="BT290" s="4">
        <f t="shared" si="336"/>
        <v>0</v>
      </c>
      <c r="BU290" s="6">
        <f t="shared" si="354"/>
        <v>0</v>
      </c>
      <c r="BV290" s="1">
        <f t="shared" si="337"/>
        <v>0</v>
      </c>
      <c r="BW290" s="1">
        <f t="shared" si="338"/>
        <v>921.9</v>
      </c>
      <c r="BX290" s="116">
        <v>72</v>
      </c>
      <c r="BY290" s="7">
        <f t="shared" si="342"/>
        <v>72.709999999999994</v>
      </c>
      <c r="BZ290" s="7">
        <f>IF(ROUND((Weightings!$P$5*BY290^Weightings!$P$6*Weightings!$P$8 ),2)&lt;Weightings!$P$7,Weightings!$P$7,ROUND((Weightings!$P$5*BY290^Weightings!$P$6*Weightings!$P$8 ),2))</f>
        <v>585</v>
      </c>
      <c r="CA290" s="8">
        <f>ROUND(BZ290/Weightings!$M$5,4)</f>
        <v>0.15240000000000001</v>
      </c>
      <c r="CB290" s="1">
        <f t="shared" si="343"/>
        <v>797.8</v>
      </c>
      <c r="CC290" s="173">
        <v>0</v>
      </c>
      <c r="CD290" s="173">
        <v>3187219</v>
      </c>
      <c r="CE290" s="173">
        <v>5407455</v>
      </c>
      <c r="CF290" s="177">
        <v>3.61E-2</v>
      </c>
      <c r="CG290" s="2">
        <f>AS290*Weightings!$M$5*CF290</f>
        <v>5345425</v>
      </c>
      <c r="CH290" s="2">
        <f t="shared" si="305"/>
        <v>5345425</v>
      </c>
      <c r="CI290" s="117">
        <f t="shared" si="339"/>
        <v>0.30499999999999999</v>
      </c>
      <c r="CJ290" s="4">
        <f t="shared" si="340"/>
        <v>365.4</v>
      </c>
      <c r="CK290" s="1">
        <f t="shared" si="344"/>
        <v>0</v>
      </c>
      <c r="CL290" s="1">
        <f t="shared" si="345"/>
        <v>0</v>
      </c>
      <c r="CM290" s="1">
        <f t="shared" si="346"/>
        <v>0</v>
      </c>
      <c r="CN290" s="1">
        <f>IF(ISNA(VLOOKUP($CZ290,'Audit Values'!$A$2:$AE$439,2,FALSE)),'Preliminary SO66'!T287,VLOOKUP($CZ290,'Audit Values'!$A$2:$AE$439,20,FALSE))</f>
        <v>0</v>
      </c>
      <c r="CO290" s="1">
        <f t="shared" si="311"/>
        <v>0</v>
      </c>
      <c r="CP290" s="180">
        <v>0</v>
      </c>
      <c r="CQ290" s="1">
        <f t="shared" si="312"/>
        <v>0</v>
      </c>
      <c r="CR290" s="2">
        <f>IF(ISNA(VLOOKUP($CZ290,'Audit Values'!$A$2:$AE$439,2,FALSE)),'Preliminary SO66'!V287,VLOOKUP($CZ290,'Audit Values'!$A$2:$AE$439,22,FALSE))</f>
        <v>0</v>
      </c>
      <c r="CS290" s="1">
        <f t="shared" si="313"/>
        <v>0</v>
      </c>
      <c r="CT290" s="2">
        <f>IF(ISNA(VLOOKUP($CZ290,'Audit Values'!$A$2:$AE$439,2,FALSE)),'Preliminary SO66'!W287,VLOOKUP($CZ290,'Audit Values'!$A$2:$AE$439,23,FALSE))</f>
        <v>0</v>
      </c>
      <c r="CU290" s="1">
        <f t="shared" si="349"/>
        <v>0</v>
      </c>
      <c r="CV290" s="1">
        <f t="shared" si="350"/>
        <v>0</v>
      </c>
      <c r="CW290" s="176">
        <v>0</v>
      </c>
      <c r="CX290" s="2">
        <f>IF(CW290&gt;0,Weightings!$M$11*AR290,0)</f>
        <v>0</v>
      </c>
      <c r="CY290" s="2">
        <f t="shared" si="347"/>
        <v>0</v>
      </c>
      <c r="CZ290" s="108" t="s">
        <v>582</v>
      </c>
    </row>
    <row r="291" spans="1:104" ht="13.5" thickTop="1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0"/>
      <c r="Q291" s="11"/>
      <c r="R291" s="111"/>
      <c r="S291" s="1"/>
      <c r="T291" s="1"/>
      <c r="U291" s="1"/>
      <c r="V291" s="1"/>
      <c r="W291" s="1"/>
      <c r="X291" s="1"/>
      <c r="Y291" s="1"/>
      <c r="Z291" s="1"/>
      <c r="AA291" s="1"/>
      <c r="AB291" s="2"/>
      <c r="AC291" s="1"/>
      <c r="AD291" s="1"/>
      <c r="AE291" s="1"/>
      <c r="AF291" s="1"/>
      <c r="AG291" s="1"/>
      <c r="AH291" s="1"/>
      <c r="AJ291" s="1" t="s">
        <v>1</v>
      </c>
      <c r="AK291" s="1"/>
      <c r="AL291" s="1"/>
      <c r="AM291" s="1"/>
      <c r="AN291" s="1"/>
      <c r="AO291" s="1"/>
      <c r="AP291" s="112"/>
      <c r="AQ291" s="1"/>
      <c r="AR291" s="1"/>
      <c r="AS291" s="1"/>
      <c r="AT291" s="1" t="s">
        <v>1</v>
      </c>
      <c r="AU291" s="1"/>
      <c r="AW291" s="82"/>
      <c r="AY291" s="118"/>
      <c r="AZ291" s="4" t="s">
        <v>1</v>
      </c>
      <c r="BG291" s="4" t="s">
        <v>1</v>
      </c>
      <c r="BI291" s="115"/>
      <c r="BJ291" s="119" t="s">
        <v>1</v>
      </c>
      <c r="BK291" s="2"/>
      <c r="BL291" s="4" t="s">
        <v>1</v>
      </c>
      <c r="BX291" s="116"/>
      <c r="BZ291" s="7"/>
      <c r="CA291" s="8"/>
    </row>
    <row r="292" spans="1:104">
      <c r="B292" s="140" t="s">
        <v>630</v>
      </c>
      <c r="C292" s="141" t="s">
        <v>152</v>
      </c>
      <c r="AE292" s="1"/>
      <c r="AP292" s="112"/>
      <c r="AS292" s="1"/>
    </row>
    <row r="293" spans="1:104">
      <c r="C293" s="137" t="s">
        <v>931</v>
      </c>
      <c r="AE293" s="1"/>
      <c r="AP293" s="120"/>
    </row>
    <row r="294" spans="1:104">
      <c r="C294" s="139" t="s">
        <v>631</v>
      </c>
      <c r="AE294" s="1"/>
      <c r="AP294" s="120"/>
    </row>
    <row r="295" spans="1:104">
      <c r="C295" s="160" t="s">
        <v>932</v>
      </c>
      <c r="AE295" s="1"/>
      <c r="AP295" s="120"/>
    </row>
    <row r="296" spans="1:104">
      <c r="AE296" s="1"/>
      <c r="AP296" s="120"/>
    </row>
    <row r="297" spans="1:104">
      <c r="AE297" s="1"/>
      <c r="AP297" s="120"/>
    </row>
    <row r="298" spans="1:104">
      <c r="AE298" s="1"/>
      <c r="AP298" s="120"/>
    </row>
    <row r="299" spans="1:104">
      <c r="AE299" s="1"/>
      <c r="AP299" s="120"/>
    </row>
    <row r="300" spans="1:104">
      <c r="AP300" s="120"/>
    </row>
    <row r="301" spans="1:104">
      <c r="AE301" s="1"/>
      <c r="AP301" s="120"/>
    </row>
    <row r="302" spans="1:104">
      <c r="AE302" s="1"/>
      <c r="AP302" s="120"/>
    </row>
    <row r="303" spans="1:104">
      <c r="AP303" s="112"/>
    </row>
    <row r="304" spans="1:104">
      <c r="AP304" s="120"/>
    </row>
    <row r="305" spans="42:42">
      <c r="AP305" s="120"/>
    </row>
    <row r="306" spans="42:42">
      <c r="AP306" s="120"/>
    </row>
    <row r="307" spans="42:42">
      <c r="AP307" s="120"/>
    </row>
    <row r="308" spans="42:42">
      <c r="AP308" s="112"/>
    </row>
    <row r="309" spans="42:42">
      <c r="AP309" s="120"/>
    </row>
  </sheetData>
  <autoFilter ref="A3:CZ294"/>
  <mergeCells count="5">
    <mergeCell ref="BN2:BW2"/>
    <mergeCell ref="CC2:CH2"/>
    <mergeCell ref="CI2:CM2"/>
    <mergeCell ref="CN2:CV2"/>
    <mergeCell ref="CW2:CY2"/>
  </mergeCells>
  <phoneticPr fontId="0" type="noConversion"/>
  <conditionalFormatting sqref="BB5:BB290">
    <cfRule type="expression" dxfId="1" priority="2">
      <formula>AZ5&gt;BA5</formula>
    </cfRule>
  </conditionalFormatting>
  <conditionalFormatting sqref="AX5:AX290">
    <cfRule type="cellIs" dxfId="0" priority="1" operator="equal">
      <formula>"PX"</formula>
    </cfRule>
  </conditionalFormatting>
  <printOptions gridLines="1" gridLinesSet="0"/>
  <pageMargins left="0.1" right="0.1" top="0.4" bottom="0.25" header="0.1" footer="0.1"/>
  <pageSetup scale="62" pageOrder="overThenDown" orientation="landscape" r:id="rId1"/>
  <headerFooter alignWithMargins="0">
    <oddHeader>&amp;L&amp;"-,Regular"Base State Aid Per Pupil = $3,838&amp;C&amp;"-,Regular"FY 2014 Legal Max&amp;RPage &amp;P</oddHeader>
  </headerFooter>
  <colBreaks count="1" manualBreakCount="1">
    <brk id="36" max="29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92"/>
  <sheetViews>
    <sheetView zoomScaleNormal="100" workbookViewId="0">
      <selection activeCell="L53" sqref="L53"/>
    </sheetView>
  </sheetViews>
  <sheetFormatPr defaultColWidth="9.140625" defaultRowHeight="12.75"/>
  <cols>
    <col min="1" max="6" width="15.7109375" style="12" customWidth="1"/>
    <col min="7" max="8" width="15.7109375" style="78" customWidth="1"/>
    <col min="9" max="9" width="15.7109375" style="12" customWidth="1"/>
    <col min="10" max="16384" width="9.140625" style="12"/>
  </cols>
  <sheetData>
    <row r="1" spans="1:9" ht="27" customHeight="1" thickBot="1">
      <c r="A1" s="59" t="s">
        <v>602</v>
      </c>
      <c r="B1" s="57"/>
      <c r="C1" s="57"/>
      <c r="D1" s="57"/>
      <c r="E1" s="57"/>
      <c r="F1" s="57"/>
      <c r="G1" s="79"/>
      <c r="H1" s="79"/>
      <c r="I1" s="60"/>
    </row>
    <row r="2" spans="1:9" ht="51" customHeight="1">
      <c r="A2" s="215" t="s">
        <v>601</v>
      </c>
      <c r="B2" s="216"/>
      <c r="C2" s="217"/>
      <c r="D2" s="213" t="s">
        <v>599</v>
      </c>
      <c r="E2" s="214"/>
      <c r="F2" s="212"/>
      <c r="G2" s="215" t="s">
        <v>600</v>
      </c>
      <c r="H2" s="216"/>
      <c r="I2" s="217"/>
    </row>
    <row r="3" spans="1:9">
      <c r="A3" s="14"/>
      <c r="B3" s="15" t="s">
        <v>610</v>
      </c>
      <c r="C3" s="13"/>
      <c r="D3" s="14"/>
      <c r="E3" s="15" t="s">
        <v>609</v>
      </c>
      <c r="F3" s="13"/>
      <c r="G3" s="61"/>
      <c r="H3" s="15" t="s">
        <v>608</v>
      </c>
      <c r="I3" s="13"/>
    </row>
    <row r="4" spans="1:9">
      <c r="A4" s="14"/>
      <c r="B4" s="15" t="s">
        <v>112</v>
      </c>
      <c r="C4" s="16"/>
      <c r="D4" s="14"/>
      <c r="E4" s="15" t="s">
        <v>112</v>
      </c>
      <c r="F4" s="16"/>
      <c r="G4" s="61"/>
      <c r="H4" s="15" t="s">
        <v>112</v>
      </c>
      <c r="I4" s="16"/>
    </row>
    <row r="5" spans="1:9">
      <c r="A5" s="14"/>
      <c r="B5" s="15" t="s">
        <v>114</v>
      </c>
      <c r="C5" s="16"/>
      <c r="D5" s="14"/>
      <c r="E5" s="15" t="s">
        <v>114</v>
      </c>
      <c r="F5" s="16"/>
      <c r="G5" s="61"/>
      <c r="H5" s="15" t="s">
        <v>114</v>
      </c>
      <c r="I5" s="16"/>
    </row>
    <row r="6" spans="1:9">
      <c r="A6" s="14">
        <v>280</v>
      </c>
      <c r="B6" s="17">
        <v>554184</v>
      </c>
      <c r="C6" s="13"/>
      <c r="D6" s="14">
        <v>317</v>
      </c>
      <c r="E6" s="17">
        <v>883854</v>
      </c>
      <c r="F6" s="13"/>
      <c r="G6" s="61">
        <v>302</v>
      </c>
      <c r="H6" s="62">
        <v>1136495</v>
      </c>
      <c r="I6" s="13"/>
    </row>
    <row r="7" spans="1:9" ht="13.5" thickBot="1">
      <c r="A7" s="14">
        <v>281</v>
      </c>
      <c r="B7" s="18">
        <v>2993832</v>
      </c>
      <c r="C7" s="13"/>
      <c r="D7" s="14">
        <v>318</v>
      </c>
      <c r="E7" s="18">
        <v>2440257</v>
      </c>
      <c r="F7" s="13"/>
      <c r="G7" s="61">
        <v>304</v>
      </c>
      <c r="H7" s="63">
        <v>820888</v>
      </c>
      <c r="I7" s="13"/>
    </row>
    <row r="8" spans="1:9" ht="13.5" thickTop="1">
      <c r="A8" s="19" t="s">
        <v>113</v>
      </c>
      <c r="B8" s="20">
        <f>SUM(B6:B7)</f>
        <v>3548016</v>
      </c>
      <c r="C8" s="13"/>
      <c r="D8" s="19" t="s">
        <v>113</v>
      </c>
      <c r="E8" s="17">
        <f>SUM(E6:E7)</f>
        <v>3324111</v>
      </c>
      <c r="F8" s="13"/>
      <c r="G8" s="29" t="s">
        <v>113</v>
      </c>
      <c r="H8" s="62">
        <f>SUM(H6:H7)</f>
        <v>1957383</v>
      </c>
      <c r="I8" s="16"/>
    </row>
    <row r="9" spans="1:9">
      <c r="A9" s="19" t="s">
        <v>115</v>
      </c>
      <c r="B9" s="20">
        <v>-154</v>
      </c>
      <c r="C9" s="58"/>
      <c r="D9" s="19" t="s">
        <v>119</v>
      </c>
      <c r="E9" s="21">
        <v>86615</v>
      </c>
      <c r="F9" s="13"/>
      <c r="G9" s="29" t="s">
        <v>123</v>
      </c>
      <c r="H9" s="64">
        <v>77952</v>
      </c>
      <c r="I9" s="16"/>
    </row>
    <row r="10" spans="1:9" ht="13.5" thickBot="1">
      <c r="A10" s="19" t="s">
        <v>116</v>
      </c>
      <c r="B10" s="22">
        <v>-143386</v>
      </c>
      <c r="C10" s="58"/>
      <c r="D10" s="19" t="s">
        <v>120</v>
      </c>
      <c r="E10" s="23">
        <v>133936</v>
      </c>
      <c r="F10" s="13"/>
      <c r="G10" s="29" t="s">
        <v>124</v>
      </c>
      <c r="H10" s="65">
        <v>56643</v>
      </c>
      <c r="I10" s="13"/>
    </row>
    <row r="11" spans="1:9" ht="13.5" thickTop="1">
      <c r="A11" s="19" t="s">
        <v>117</v>
      </c>
      <c r="B11" s="20">
        <f>SUM(B8:B10)</f>
        <v>3404476</v>
      </c>
      <c r="C11" s="58"/>
      <c r="D11" s="19" t="s">
        <v>117</v>
      </c>
      <c r="E11" s="17">
        <f>E8-E9-E10</f>
        <v>3103560</v>
      </c>
      <c r="F11" s="13"/>
      <c r="G11" s="29" t="s">
        <v>117</v>
      </c>
      <c r="H11" s="62">
        <f>H8-H9-H10</f>
        <v>1822788</v>
      </c>
      <c r="I11" s="13"/>
    </row>
    <row r="12" spans="1:9" ht="13.5" thickBot="1">
      <c r="A12" s="19" t="s">
        <v>118</v>
      </c>
      <c r="B12" s="22">
        <f>'2014legmax.xls'!AQ88*4257</f>
        <v>308207</v>
      </c>
      <c r="C12" s="58"/>
      <c r="D12" s="19" t="s">
        <v>121</v>
      </c>
      <c r="E12" s="18">
        <f>'2014legmax.xls'!AQ8*4316</f>
        <v>291330</v>
      </c>
      <c r="F12" s="13"/>
      <c r="G12" s="29" t="s">
        <v>121</v>
      </c>
      <c r="H12" s="63">
        <f>'2014legmax.xls'!AQ9*4374</f>
        <v>123784</v>
      </c>
      <c r="I12" s="16"/>
    </row>
    <row r="13" spans="1:9" ht="13.5" thickTop="1">
      <c r="A13" s="19" t="s">
        <v>125</v>
      </c>
      <c r="B13" s="20">
        <f>SUM(B11:B12)</f>
        <v>3712683</v>
      </c>
      <c r="C13" s="58"/>
      <c r="D13" s="19" t="s">
        <v>122</v>
      </c>
      <c r="E13" s="17">
        <f>SUM(E11:E12)</f>
        <v>3394890</v>
      </c>
      <c r="F13" s="13"/>
      <c r="G13" s="29" t="s">
        <v>122</v>
      </c>
      <c r="H13" s="62">
        <f>SUM(H11:H12)</f>
        <v>1946572</v>
      </c>
      <c r="I13" s="16"/>
    </row>
    <row r="14" spans="1:9" ht="13.5" thickBot="1">
      <c r="A14" s="24"/>
      <c r="B14" s="25"/>
      <c r="C14" s="26"/>
      <c r="D14" s="24"/>
      <c r="E14" s="25"/>
      <c r="F14" s="26"/>
      <c r="G14" s="66"/>
      <c r="H14" s="66"/>
      <c r="I14" s="26"/>
    </row>
    <row r="15" spans="1:9" ht="51" customHeight="1">
      <c r="A15" s="210" t="s">
        <v>584</v>
      </c>
      <c r="B15" s="211"/>
      <c r="C15" s="212"/>
      <c r="D15" s="213" t="s">
        <v>585</v>
      </c>
      <c r="E15" s="214"/>
      <c r="F15" s="212"/>
      <c r="G15" s="213" t="s">
        <v>586</v>
      </c>
      <c r="H15" s="214"/>
      <c r="I15" s="212"/>
    </row>
    <row r="16" spans="1:9">
      <c r="A16" s="14"/>
      <c r="B16" s="15" t="s">
        <v>607</v>
      </c>
      <c r="C16" s="13"/>
      <c r="D16" s="14"/>
      <c r="E16" s="15" t="s">
        <v>607</v>
      </c>
      <c r="F16" s="13"/>
      <c r="G16" s="61"/>
      <c r="H16" s="15" t="s">
        <v>607</v>
      </c>
      <c r="I16" s="16"/>
    </row>
    <row r="17" spans="1:9">
      <c r="A17" s="14"/>
      <c r="B17" s="15" t="s">
        <v>112</v>
      </c>
      <c r="C17" s="13"/>
      <c r="D17" s="14"/>
      <c r="E17" s="15" t="s">
        <v>112</v>
      </c>
      <c r="F17" s="13"/>
      <c r="G17" s="61"/>
      <c r="H17" s="15" t="s">
        <v>112</v>
      </c>
      <c r="I17" s="16"/>
    </row>
    <row r="18" spans="1:9">
      <c r="A18" s="14"/>
      <c r="B18" s="15" t="s">
        <v>126</v>
      </c>
      <c r="C18" s="13"/>
      <c r="D18" s="14"/>
      <c r="E18" s="15" t="s">
        <v>126</v>
      </c>
      <c r="F18" s="13"/>
      <c r="G18" s="61"/>
      <c r="H18" s="15" t="s">
        <v>126</v>
      </c>
      <c r="I18" s="16"/>
    </row>
    <row r="19" spans="1:9">
      <c r="A19" s="14">
        <v>104</v>
      </c>
      <c r="B19" s="27">
        <v>1183446</v>
      </c>
      <c r="C19" s="13"/>
      <c r="D19" s="14">
        <v>221</v>
      </c>
      <c r="E19" s="27">
        <v>1205582</v>
      </c>
      <c r="F19" s="13"/>
      <c r="G19" s="61">
        <v>427</v>
      </c>
      <c r="H19" s="67">
        <v>3442636</v>
      </c>
      <c r="I19" s="16"/>
    </row>
    <row r="20" spans="1:9" ht="13.5" thickBot="1">
      <c r="A20" s="14">
        <v>278</v>
      </c>
      <c r="B20" s="28">
        <v>1751330</v>
      </c>
      <c r="C20" s="13"/>
      <c r="D20" s="14">
        <v>222</v>
      </c>
      <c r="E20" s="28">
        <v>2622738</v>
      </c>
      <c r="F20" s="13"/>
      <c r="G20" s="61">
        <v>455</v>
      </c>
      <c r="H20" s="68">
        <v>1173655</v>
      </c>
      <c r="I20" s="16"/>
    </row>
    <row r="21" spans="1:9" ht="13.5" thickTop="1">
      <c r="A21" s="19" t="s">
        <v>113</v>
      </c>
      <c r="B21" s="27">
        <f>SUM(B19:B20)</f>
        <v>2934776</v>
      </c>
      <c r="C21" s="13"/>
      <c r="D21" s="19" t="s">
        <v>113</v>
      </c>
      <c r="E21" s="27">
        <f>SUM(E19:E20)</f>
        <v>3828320</v>
      </c>
      <c r="F21" s="13"/>
      <c r="G21" s="29" t="s">
        <v>113</v>
      </c>
      <c r="H21" s="67">
        <f>SUM(H19:H20)</f>
        <v>4616291</v>
      </c>
      <c r="I21" s="16"/>
    </row>
    <row r="22" spans="1:9">
      <c r="A22" s="19" t="s">
        <v>127</v>
      </c>
      <c r="B22" s="30">
        <v>83064</v>
      </c>
      <c r="C22" s="13"/>
      <c r="D22" s="19" t="s">
        <v>129</v>
      </c>
      <c r="E22" s="30">
        <v>122855</v>
      </c>
      <c r="F22" s="13"/>
      <c r="G22" s="29" t="s">
        <v>131</v>
      </c>
      <c r="H22" s="69">
        <v>398982</v>
      </c>
      <c r="I22" s="16"/>
    </row>
    <row r="23" spans="1:9" ht="13.5" thickBot="1">
      <c r="A23" s="19" t="s">
        <v>128</v>
      </c>
      <c r="B23" s="31">
        <v>76561</v>
      </c>
      <c r="C23" s="13"/>
      <c r="D23" s="19" t="s">
        <v>130</v>
      </c>
      <c r="E23" s="31">
        <v>230689</v>
      </c>
      <c r="F23" s="13"/>
      <c r="G23" s="29" t="s">
        <v>132</v>
      </c>
      <c r="H23" s="70">
        <v>95498</v>
      </c>
      <c r="I23" s="16"/>
    </row>
    <row r="24" spans="1:9" ht="13.5" thickTop="1">
      <c r="A24" s="19" t="s">
        <v>117</v>
      </c>
      <c r="B24" s="27">
        <f>B21-B22-B23</f>
        <v>2775151</v>
      </c>
      <c r="C24" s="13"/>
      <c r="D24" s="19" t="s">
        <v>117</v>
      </c>
      <c r="E24" s="27">
        <f>E21-E22-E23</f>
        <v>3474776</v>
      </c>
      <c r="F24" s="13"/>
      <c r="G24" s="29" t="s">
        <v>117</v>
      </c>
      <c r="H24" s="67">
        <f>H21-H22-H23</f>
        <v>4121811</v>
      </c>
      <c r="I24" s="16"/>
    </row>
    <row r="25" spans="1:9" ht="13.5" thickBot="1">
      <c r="A25" s="19" t="s">
        <v>134</v>
      </c>
      <c r="B25" s="28">
        <f>'2014legmax.xls'!AQ10*4400</f>
        <v>438240</v>
      </c>
      <c r="C25" s="13"/>
      <c r="D25" s="19" t="s">
        <v>134</v>
      </c>
      <c r="E25" s="28">
        <f>'2014legmax.xls'!AQ11*4400</f>
        <v>408760</v>
      </c>
      <c r="F25" s="13"/>
      <c r="G25" s="29" t="s">
        <v>134</v>
      </c>
      <c r="H25" s="68">
        <f>'2014legmax.xls'!AQ12*4400</f>
        <v>522720</v>
      </c>
      <c r="I25" s="16"/>
    </row>
    <row r="26" spans="1:9" ht="13.5" thickTop="1">
      <c r="A26" s="19" t="s">
        <v>133</v>
      </c>
      <c r="B26" s="27">
        <f>B24+B25</f>
        <v>3213391</v>
      </c>
      <c r="C26" s="13"/>
      <c r="D26" s="19" t="s">
        <v>133</v>
      </c>
      <c r="E26" s="27">
        <f>E24+E25</f>
        <v>3883536</v>
      </c>
      <c r="F26" s="13"/>
      <c r="G26" s="29" t="s">
        <v>133</v>
      </c>
      <c r="H26" s="67">
        <f>H24+H25</f>
        <v>4644531</v>
      </c>
      <c r="I26" s="16"/>
    </row>
    <row r="27" spans="1:9" ht="13.5" thickBot="1">
      <c r="A27" s="24"/>
      <c r="B27" s="25"/>
      <c r="C27" s="26"/>
      <c r="D27" s="24"/>
      <c r="E27" s="25"/>
      <c r="F27" s="26"/>
      <c r="G27" s="80"/>
      <c r="H27" s="66"/>
      <c r="I27" s="81"/>
    </row>
    <row r="28" spans="1:9" ht="51" customHeight="1">
      <c r="A28" s="200" t="s">
        <v>587</v>
      </c>
      <c r="B28" s="207"/>
      <c r="C28" s="205"/>
      <c r="D28" s="208" t="s">
        <v>588</v>
      </c>
      <c r="E28" s="209"/>
      <c r="F28" s="202"/>
      <c r="G28" s="208" t="s">
        <v>589</v>
      </c>
      <c r="H28" s="209"/>
      <c r="I28" s="202"/>
    </row>
    <row r="29" spans="1:9">
      <c r="A29" s="14"/>
      <c r="B29" s="15" t="s">
        <v>606</v>
      </c>
      <c r="C29" s="13"/>
      <c r="D29" s="14"/>
      <c r="E29" s="15" t="s">
        <v>145</v>
      </c>
      <c r="F29" s="13"/>
      <c r="G29" s="61"/>
      <c r="H29" s="15" t="s">
        <v>145</v>
      </c>
      <c r="I29" s="16"/>
    </row>
    <row r="30" spans="1:9">
      <c r="A30" s="14"/>
      <c r="B30" s="15" t="s">
        <v>112</v>
      </c>
      <c r="C30" s="13"/>
      <c r="D30" s="14"/>
      <c r="E30" s="15" t="s">
        <v>112</v>
      </c>
      <c r="F30" s="13"/>
      <c r="G30" s="61"/>
      <c r="H30" s="15" t="s">
        <v>112</v>
      </c>
      <c r="I30" s="16"/>
    </row>
    <row r="31" spans="1:9">
      <c r="A31" s="14"/>
      <c r="B31" s="15" t="s">
        <v>126</v>
      </c>
      <c r="C31" s="13"/>
      <c r="D31" s="14"/>
      <c r="E31" s="15" t="s">
        <v>126</v>
      </c>
      <c r="F31" s="13"/>
      <c r="G31" s="61"/>
      <c r="H31" s="15" t="s">
        <v>126</v>
      </c>
      <c r="I31" s="16"/>
    </row>
    <row r="32" spans="1:9">
      <c r="A32" s="14">
        <v>238</v>
      </c>
      <c r="B32" s="27">
        <v>1743476</v>
      </c>
      <c r="C32" s="13"/>
      <c r="D32" s="14">
        <v>425</v>
      </c>
      <c r="E32" s="27">
        <v>2258960</v>
      </c>
      <c r="F32" s="13"/>
      <c r="G32" s="61">
        <v>107</v>
      </c>
      <c r="H32" s="67">
        <v>3042231</v>
      </c>
      <c r="I32" s="133"/>
    </row>
    <row r="33" spans="1:9" ht="13.5" thickBot="1">
      <c r="A33" s="14">
        <v>324</v>
      </c>
      <c r="B33" s="28">
        <v>1381747</v>
      </c>
      <c r="C33" s="13"/>
      <c r="D33" s="14">
        <v>433</v>
      </c>
      <c r="E33" s="28">
        <v>1947000</v>
      </c>
      <c r="F33" s="13"/>
      <c r="G33" s="61">
        <v>279</v>
      </c>
      <c r="H33" s="68">
        <v>591782</v>
      </c>
      <c r="I33" s="133"/>
    </row>
    <row r="34" spans="1:9" ht="13.5" thickTop="1">
      <c r="A34" s="19" t="s">
        <v>113</v>
      </c>
      <c r="B34" s="27">
        <f>SUM(B32:B33)</f>
        <v>3125223</v>
      </c>
      <c r="C34" s="13"/>
      <c r="D34" s="19" t="s">
        <v>113</v>
      </c>
      <c r="E34" s="27">
        <f>SUM(E32:E33)</f>
        <v>4205960</v>
      </c>
      <c r="F34" s="13"/>
      <c r="G34" s="29" t="s">
        <v>113</v>
      </c>
      <c r="H34" s="67">
        <f>SUM(H32:H33)</f>
        <v>3634013</v>
      </c>
      <c r="I34" s="133"/>
    </row>
    <row r="35" spans="1:9">
      <c r="A35" s="19" t="s">
        <v>136</v>
      </c>
      <c r="B35" s="30">
        <v>195300</v>
      </c>
      <c r="C35" s="13"/>
      <c r="D35" s="19" t="s">
        <v>146</v>
      </c>
      <c r="E35" s="30">
        <v>285521</v>
      </c>
      <c r="F35" s="13"/>
      <c r="G35" s="29" t="s">
        <v>149</v>
      </c>
      <c r="H35" s="69">
        <v>267171</v>
      </c>
      <c r="I35" s="134"/>
    </row>
    <row r="36" spans="1:9" ht="13.5" thickBot="1">
      <c r="A36" s="19" t="s">
        <v>137</v>
      </c>
      <c r="B36" s="31">
        <v>137268</v>
      </c>
      <c r="C36" s="13"/>
      <c r="D36" s="19" t="s">
        <v>147</v>
      </c>
      <c r="E36" s="31">
        <v>269700</v>
      </c>
      <c r="F36" s="13"/>
      <c r="G36" s="29" t="s">
        <v>150</v>
      </c>
      <c r="H36" s="70">
        <v>56043</v>
      </c>
      <c r="I36" s="134"/>
    </row>
    <row r="37" spans="1:9" ht="13.5" thickTop="1">
      <c r="A37" s="19" t="s">
        <v>117</v>
      </c>
      <c r="B37" s="27">
        <f>B34-B35-B36</f>
        <v>2792655</v>
      </c>
      <c r="C37" s="13"/>
      <c r="D37" s="19" t="s">
        <v>117</v>
      </c>
      <c r="E37" s="27">
        <f>E34-E35-E36</f>
        <v>3650739</v>
      </c>
      <c r="F37" s="13"/>
      <c r="G37" s="29" t="s">
        <v>117</v>
      </c>
      <c r="H37" s="67">
        <f>H34-H35-H36</f>
        <v>3310799</v>
      </c>
      <c r="I37" s="133"/>
    </row>
    <row r="38" spans="1:9" ht="13.5" thickBot="1">
      <c r="A38" s="19" t="s">
        <v>134</v>
      </c>
      <c r="B38" s="28">
        <f>'2014legmax.xls'!AQ13*Weightings!M5</f>
        <v>297829</v>
      </c>
      <c r="C38" s="13"/>
      <c r="D38" s="19" t="s">
        <v>134</v>
      </c>
      <c r="E38" s="28">
        <f>'2014legmax.xls'!AQ14*Weightings!M5</f>
        <v>350026</v>
      </c>
      <c r="F38" s="13"/>
      <c r="G38" s="29" t="s">
        <v>134</v>
      </c>
      <c r="H38" s="68">
        <f>'2014legmax.xls'!AQ10*Weightings!M5</f>
        <v>382265</v>
      </c>
      <c r="I38" s="133"/>
    </row>
    <row r="39" spans="1:9" ht="13.5" thickTop="1">
      <c r="A39" s="19" t="s">
        <v>138</v>
      </c>
      <c r="B39" s="27">
        <f>B37+B38</f>
        <v>3090484</v>
      </c>
      <c r="C39" s="13"/>
      <c r="D39" s="19" t="s">
        <v>148</v>
      </c>
      <c r="E39" s="27">
        <f>E37+E38</f>
        <v>4000765</v>
      </c>
      <c r="F39" s="13"/>
      <c r="G39" s="29" t="s">
        <v>148</v>
      </c>
      <c r="H39" s="67">
        <f>H37+H38</f>
        <v>3693064</v>
      </c>
      <c r="I39" s="133"/>
    </row>
    <row r="40" spans="1:9" ht="13.5" thickBot="1">
      <c r="A40" s="24"/>
      <c r="B40" s="25"/>
      <c r="C40" s="26"/>
      <c r="D40" s="24"/>
      <c r="E40" s="25"/>
      <c r="F40" s="26"/>
      <c r="G40" s="66"/>
      <c r="H40" s="66"/>
      <c r="I40" s="135"/>
    </row>
    <row r="41" spans="1:9" ht="51" customHeight="1">
      <c r="A41" s="200" t="s">
        <v>590</v>
      </c>
      <c r="B41" s="201"/>
      <c r="C41" s="202"/>
      <c r="D41" s="203" t="s">
        <v>591</v>
      </c>
      <c r="E41" s="204"/>
      <c r="F41" s="205"/>
      <c r="G41" s="218" t="s">
        <v>592</v>
      </c>
      <c r="H41" s="219"/>
      <c r="I41" s="220"/>
    </row>
    <row r="42" spans="1:9">
      <c r="A42" s="14"/>
      <c r="B42" s="15" t="s">
        <v>145</v>
      </c>
      <c r="C42" s="13"/>
      <c r="D42" s="32"/>
      <c r="E42" s="34" t="s">
        <v>604</v>
      </c>
      <c r="F42" s="33"/>
      <c r="G42" s="71"/>
      <c r="H42" s="34" t="s">
        <v>604</v>
      </c>
      <c r="I42" s="47"/>
    </row>
    <row r="43" spans="1:9">
      <c r="A43" s="14"/>
      <c r="B43" s="15" t="s">
        <v>112</v>
      </c>
      <c r="C43" s="13"/>
      <c r="D43" s="32"/>
      <c r="E43" s="34" t="s">
        <v>112</v>
      </c>
      <c r="F43" s="33"/>
      <c r="G43" s="71"/>
      <c r="H43" s="34" t="s">
        <v>112</v>
      </c>
      <c r="I43" s="47"/>
    </row>
    <row r="44" spans="1:9">
      <c r="A44" s="14"/>
      <c r="B44" s="15" t="s">
        <v>126</v>
      </c>
      <c r="C44" s="13"/>
      <c r="D44" s="32"/>
      <c r="E44" s="34" t="s">
        <v>126</v>
      </c>
      <c r="F44" s="33"/>
      <c r="G44" s="71"/>
      <c r="H44" s="34" t="s">
        <v>126</v>
      </c>
      <c r="I44" s="47"/>
    </row>
    <row r="45" spans="1:9">
      <c r="A45" s="14">
        <v>273</v>
      </c>
      <c r="B45" s="27">
        <v>5470960</v>
      </c>
      <c r="C45" s="13"/>
      <c r="D45" s="32">
        <v>328</v>
      </c>
      <c r="E45" s="35">
        <v>3622435</v>
      </c>
      <c r="F45" s="33"/>
      <c r="G45" s="71">
        <v>441</v>
      </c>
      <c r="H45" s="72">
        <v>6332541</v>
      </c>
      <c r="I45" s="48"/>
    </row>
    <row r="46" spans="1:9" ht="13.5" thickBot="1">
      <c r="A46" s="14">
        <v>279</v>
      </c>
      <c r="B46" s="28">
        <v>641098</v>
      </c>
      <c r="C46" s="13"/>
      <c r="D46" s="32">
        <v>354</v>
      </c>
      <c r="E46" s="36">
        <v>1970694</v>
      </c>
      <c r="F46" s="33"/>
      <c r="G46" s="71">
        <v>488</v>
      </c>
      <c r="H46" s="73">
        <v>2323750</v>
      </c>
      <c r="I46" s="48"/>
    </row>
    <row r="47" spans="1:9" ht="13.5" thickTop="1">
      <c r="A47" s="19" t="s">
        <v>113</v>
      </c>
      <c r="B47" s="27">
        <f>SUM(B45:B46)</f>
        <v>6112058</v>
      </c>
      <c r="C47" s="13"/>
      <c r="D47" s="37" t="s">
        <v>113</v>
      </c>
      <c r="E47" s="35">
        <f>SUM(E45:E46)</f>
        <v>5593129</v>
      </c>
      <c r="F47" s="33"/>
      <c r="G47" s="38" t="s">
        <v>113</v>
      </c>
      <c r="H47" s="72">
        <f>SUM(H45:H46)</f>
        <v>8656291</v>
      </c>
      <c r="I47" s="48"/>
    </row>
    <row r="48" spans="1:9">
      <c r="A48" s="19" t="s">
        <v>151</v>
      </c>
      <c r="B48" s="30">
        <v>764106</v>
      </c>
      <c r="C48" s="13"/>
      <c r="D48" s="37" t="s">
        <v>153</v>
      </c>
      <c r="E48" s="39">
        <v>333773</v>
      </c>
      <c r="F48" s="33"/>
      <c r="G48" s="38" t="s">
        <v>155</v>
      </c>
      <c r="H48" s="74">
        <v>799708</v>
      </c>
      <c r="I48" s="49"/>
    </row>
    <row r="49" spans="1:9" ht="13.5" thickBot="1">
      <c r="A49" s="19" t="s">
        <v>150</v>
      </c>
      <c r="B49" s="31">
        <v>60713</v>
      </c>
      <c r="C49" s="13"/>
      <c r="D49" s="37" t="s">
        <v>154</v>
      </c>
      <c r="E49" s="40">
        <v>261319</v>
      </c>
      <c r="F49" s="33"/>
      <c r="G49" s="38" t="s">
        <v>161</v>
      </c>
      <c r="H49" s="75">
        <v>218072</v>
      </c>
      <c r="I49" s="49"/>
    </row>
    <row r="50" spans="1:9" ht="13.5" thickTop="1">
      <c r="A50" s="19" t="s">
        <v>117</v>
      </c>
      <c r="B50" s="27">
        <f>B47-B48-B49</f>
        <v>5287239</v>
      </c>
      <c r="C50" s="13"/>
      <c r="D50" s="37" t="s">
        <v>117</v>
      </c>
      <c r="E50" s="35">
        <f>E47-E48-E49</f>
        <v>4998037</v>
      </c>
      <c r="F50" s="33"/>
      <c r="G50" s="38" t="s">
        <v>117</v>
      </c>
      <c r="H50" s="72">
        <f>H47-H48-H49</f>
        <v>7638511</v>
      </c>
      <c r="I50" s="48"/>
    </row>
    <row r="51" spans="1:9" ht="13.5" thickBot="1">
      <c r="A51" s="19" t="s">
        <v>134</v>
      </c>
      <c r="B51" s="28">
        <f>'2014legmax.xls'!AQ85*Weightings!M5</f>
        <v>905384</v>
      </c>
      <c r="C51" s="13"/>
      <c r="D51" s="37" t="s">
        <v>134</v>
      </c>
      <c r="E51" s="36">
        <f>'2014legmax.xls'!AQ15*Weightings!M5</f>
        <v>437532</v>
      </c>
      <c r="F51" s="33"/>
      <c r="G51" s="38" t="s">
        <v>134</v>
      </c>
      <c r="H51" s="73">
        <f>'2014legmax.xls'!AQ16*Weightings!M5</f>
        <v>878134</v>
      </c>
      <c r="I51" s="48"/>
    </row>
    <row r="52" spans="1:9" ht="13.5" thickTop="1">
      <c r="A52" s="19" t="s">
        <v>148</v>
      </c>
      <c r="B52" s="27">
        <f>B50+B51</f>
        <v>6192623</v>
      </c>
      <c r="C52" s="13"/>
      <c r="D52" s="37" t="s">
        <v>156</v>
      </c>
      <c r="E52" s="35">
        <f>E50+E51</f>
        <v>5435569</v>
      </c>
      <c r="F52" s="33"/>
      <c r="G52" s="38" t="s">
        <v>156</v>
      </c>
      <c r="H52" s="72">
        <f>H50+H51</f>
        <v>8516645</v>
      </c>
      <c r="I52" s="48"/>
    </row>
    <row r="53" spans="1:9" ht="13.5" thickBot="1">
      <c r="A53" s="24"/>
      <c r="B53" s="25"/>
      <c r="C53" s="26"/>
      <c r="D53" s="46"/>
      <c r="E53" s="43"/>
      <c r="F53" s="44"/>
      <c r="G53" s="76"/>
      <c r="H53" s="76"/>
      <c r="I53" s="50"/>
    </row>
    <row r="54" spans="1:9" ht="51" customHeight="1">
      <c r="A54" s="206" t="s">
        <v>593</v>
      </c>
      <c r="B54" s="207"/>
      <c r="C54" s="205"/>
      <c r="D54" s="208" t="s">
        <v>594</v>
      </c>
      <c r="E54" s="209"/>
      <c r="F54" s="202"/>
      <c r="G54" s="218" t="s">
        <v>595</v>
      </c>
      <c r="H54" s="219"/>
      <c r="I54" s="220"/>
    </row>
    <row r="55" spans="1:9">
      <c r="A55" s="32"/>
      <c r="B55" s="34" t="s">
        <v>604</v>
      </c>
      <c r="C55" s="33"/>
      <c r="D55" s="14"/>
      <c r="E55" s="15" t="s">
        <v>604</v>
      </c>
      <c r="F55" s="13"/>
      <c r="G55" s="71"/>
      <c r="H55" s="34" t="s">
        <v>605</v>
      </c>
      <c r="I55" s="47"/>
    </row>
    <row r="56" spans="1:9">
      <c r="A56" s="32"/>
      <c r="B56" s="34" t="s">
        <v>112</v>
      </c>
      <c r="C56" s="33"/>
      <c r="D56" s="14"/>
      <c r="E56" s="15" t="s">
        <v>112</v>
      </c>
      <c r="F56" s="13"/>
      <c r="G56" s="71"/>
      <c r="H56" s="34" t="s">
        <v>112</v>
      </c>
      <c r="I56" s="47"/>
    </row>
    <row r="57" spans="1:9">
      <c r="A57" s="32"/>
      <c r="B57" s="34" t="s">
        <v>126</v>
      </c>
      <c r="C57" s="33"/>
      <c r="D57" s="14"/>
      <c r="E57" s="15" t="s">
        <v>126</v>
      </c>
      <c r="F57" s="13"/>
      <c r="G57" s="71"/>
      <c r="H57" s="34" t="s">
        <v>126</v>
      </c>
      <c r="I57" s="47"/>
    </row>
    <row r="58" spans="1:9">
      <c r="A58" s="32">
        <v>406</v>
      </c>
      <c r="B58" s="35">
        <v>3095862</v>
      </c>
      <c r="C58" s="33"/>
      <c r="D58" s="14">
        <v>211</v>
      </c>
      <c r="E58" s="27">
        <v>5032252</v>
      </c>
      <c r="F58" s="13"/>
      <c r="G58" s="71">
        <v>442</v>
      </c>
      <c r="H58" s="72">
        <v>3414166</v>
      </c>
      <c r="I58" s="48"/>
    </row>
    <row r="59" spans="1:9" ht="13.5" thickBot="1">
      <c r="A59" s="32">
        <v>486</v>
      </c>
      <c r="B59" s="36">
        <v>2493458</v>
      </c>
      <c r="C59" s="33"/>
      <c r="D59" s="14">
        <v>213</v>
      </c>
      <c r="E59" s="28">
        <v>438913</v>
      </c>
      <c r="F59" s="13"/>
      <c r="G59" s="71">
        <v>451</v>
      </c>
      <c r="H59" s="73">
        <v>1602753</v>
      </c>
      <c r="I59" s="48"/>
    </row>
    <row r="60" spans="1:9" ht="13.5" thickTop="1">
      <c r="A60" s="37" t="s">
        <v>113</v>
      </c>
      <c r="B60" s="35">
        <f>SUM(B58:B59)</f>
        <v>5589320</v>
      </c>
      <c r="C60" s="33"/>
      <c r="D60" s="19" t="s">
        <v>113</v>
      </c>
      <c r="E60" s="27">
        <f>SUM(E58:E59)</f>
        <v>5471165</v>
      </c>
      <c r="F60" s="13"/>
      <c r="G60" s="38" t="s">
        <v>113</v>
      </c>
      <c r="H60" s="72">
        <f>SUM(H58:H59)</f>
        <v>5016919</v>
      </c>
      <c r="I60" s="48"/>
    </row>
    <row r="61" spans="1:9">
      <c r="A61" s="37" t="s">
        <v>157</v>
      </c>
      <c r="B61" s="39">
        <v>375445</v>
      </c>
      <c r="C61" s="33"/>
      <c r="D61" s="19" t="s">
        <v>159</v>
      </c>
      <c r="E61" s="30">
        <v>714638</v>
      </c>
      <c r="F61" s="13"/>
      <c r="G61" s="38" t="s">
        <v>111</v>
      </c>
      <c r="H61" s="74">
        <v>381205</v>
      </c>
      <c r="I61" s="49"/>
    </row>
    <row r="62" spans="1:9" ht="13.5" thickBot="1">
      <c r="A62" s="37" t="s">
        <v>158</v>
      </c>
      <c r="B62" s="40">
        <v>258021</v>
      </c>
      <c r="C62" s="33"/>
      <c r="D62" s="19" t="s">
        <v>160</v>
      </c>
      <c r="E62" s="31">
        <v>37880</v>
      </c>
      <c r="F62" s="13"/>
      <c r="G62" s="38" t="s">
        <v>111</v>
      </c>
      <c r="H62" s="75">
        <v>128351</v>
      </c>
      <c r="I62" s="49"/>
    </row>
    <row r="63" spans="1:9" ht="13.5" thickTop="1">
      <c r="A63" s="37" t="s">
        <v>117</v>
      </c>
      <c r="B63" s="35">
        <f>B60-B61-B62</f>
        <v>4955854</v>
      </c>
      <c r="C63" s="33"/>
      <c r="D63" s="19" t="s">
        <v>117</v>
      </c>
      <c r="E63" s="27">
        <f>E60-E61-E62</f>
        <v>4718647</v>
      </c>
      <c r="F63" s="13"/>
      <c r="G63" s="38" t="s">
        <v>117</v>
      </c>
      <c r="H63" s="72">
        <f>H60-H61-H62</f>
        <v>4507363</v>
      </c>
      <c r="I63" s="48"/>
    </row>
    <row r="64" spans="1:9" ht="13.5" thickBot="1">
      <c r="A64" s="37" t="s">
        <v>134</v>
      </c>
      <c r="B64" s="36">
        <f>'2014legmax.xls'!AQ17*Weightings!M5</f>
        <v>664742</v>
      </c>
      <c r="C64" s="33"/>
      <c r="D64" s="19" t="s">
        <v>134</v>
      </c>
      <c r="E64" s="28">
        <f>'2014legmax.xls'!AQ29*Weightings!M5</f>
        <v>872761</v>
      </c>
      <c r="F64" s="13"/>
      <c r="G64" s="38" t="s">
        <v>134</v>
      </c>
      <c r="H64" s="73">
        <f>'2014legmax.xls'!AQ18*Weightings!M5</f>
        <v>460560</v>
      </c>
      <c r="I64" s="48"/>
    </row>
    <row r="65" spans="1:9" ht="13.5" thickTop="1">
      <c r="A65" s="37" t="s">
        <v>156</v>
      </c>
      <c r="B65" s="35">
        <f>B63+B64</f>
        <v>5620596</v>
      </c>
      <c r="C65" s="33"/>
      <c r="D65" s="19" t="s">
        <v>156</v>
      </c>
      <c r="E65" s="27">
        <f>E63+E64</f>
        <v>5591408</v>
      </c>
      <c r="F65" s="13"/>
      <c r="G65" s="38" t="s">
        <v>611</v>
      </c>
      <c r="H65" s="72">
        <f>H63+H64</f>
        <v>4967923</v>
      </c>
      <c r="I65" s="48"/>
    </row>
    <row r="66" spans="1:9" ht="13.5" thickBot="1">
      <c r="A66" s="46"/>
      <c r="B66" s="43"/>
      <c r="C66" s="44"/>
      <c r="D66" s="24"/>
      <c r="E66" s="25"/>
      <c r="F66" s="26"/>
      <c r="G66" s="76"/>
      <c r="H66" s="76"/>
      <c r="I66" s="50"/>
    </row>
    <row r="67" spans="1:9" ht="51" customHeight="1">
      <c r="A67" s="206" t="s">
        <v>596</v>
      </c>
      <c r="B67" s="207"/>
      <c r="C67" s="205"/>
      <c r="D67" s="203" t="s">
        <v>597</v>
      </c>
      <c r="E67" s="204"/>
      <c r="F67" s="205"/>
      <c r="G67" s="218" t="s">
        <v>598</v>
      </c>
      <c r="H67" s="219"/>
      <c r="I67" s="220"/>
    </row>
    <row r="68" spans="1:9">
      <c r="A68" s="32"/>
      <c r="B68" s="34" t="s">
        <v>605</v>
      </c>
      <c r="C68" s="33"/>
      <c r="D68" s="32"/>
      <c r="E68" s="34" t="s">
        <v>605</v>
      </c>
      <c r="F68" s="33"/>
      <c r="G68" s="71"/>
      <c r="H68" s="34" t="s">
        <v>258</v>
      </c>
      <c r="I68" s="47"/>
    </row>
    <row r="69" spans="1:9">
      <c r="A69" s="32"/>
      <c r="B69" s="34" t="s">
        <v>112</v>
      </c>
      <c r="C69" s="33"/>
      <c r="D69" s="32"/>
      <c r="E69" s="34" t="s">
        <v>112</v>
      </c>
      <c r="F69" s="33"/>
      <c r="G69" s="71"/>
      <c r="H69" s="34" t="s">
        <v>112</v>
      </c>
      <c r="I69" s="47"/>
    </row>
    <row r="70" spans="1:9">
      <c r="A70" s="32"/>
      <c r="B70" s="34" t="s">
        <v>126</v>
      </c>
      <c r="C70" s="33"/>
      <c r="D70" s="32"/>
      <c r="E70" s="34" t="s">
        <v>126</v>
      </c>
      <c r="F70" s="33"/>
      <c r="G70" s="71"/>
      <c r="H70" s="34" t="s">
        <v>126</v>
      </c>
      <c r="I70" s="47"/>
    </row>
    <row r="71" spans="1:9">
      <c r="A71" s="32">
        <v>227</v>
      </c>
      <c r="B71" s="35">
        <v>2122437</v>
      </c>
      <c r="C71" s="33"/>
      <c r="D71" s="32">
        <v>422</v>
      </c>
      <c r="E71" s="35">
        <v>1990547</v>
      </c>
      <c r="F71" s="33"/>
      <c r="G71" s="38" t="s">
        <v>0</v>
      </c>
      <c r="H71" s="72"/>
      <c r="I71" s="48"/>
    </row>
    <row r="72" spans="1:9" ht="13.5" thickBot="1">
      <c r="A72" s="32">
        <v>228</v>
      </c>
      <c r="B72" s="36">
        <v>729132</v>
      </c>
      <c r="C72" s="33"/>
      <c r="D72" s="32">
        <v>424</v>
      </c>
      <c r="E72" s="36">
        <v>1451178</v>
      </c>
      <c r="F72" s="33"/>
      <c r="G72" s="38" t="s">
        <v>0</v>
      </c>
      <c r="H72" s="73"/>
      <c r="I72" s="48"/>
    </row>
    <row r="73" spans="1:9" ht="13.5" thickTop="1">
      <c r="A73" s="37" t="s">
        <v>113</v>
      </c>
      <c r="B73" s="35">
        <f>SUM(B71:B72)</f>
        <v>2851569</v>
      </c>
      <c r="C73" s="33"/>
      <c r="D73" s="37" t="s">
        <v>113</v>
      </c>
      <c r="E73" s="35">
        <f>SUM(E71:E72)</f>
        <v>3441725</v>
      </c>
      <c r="F73" s="33"/>
      <c r="G73" s="38" t="s">
        <v>113</v>
      </c>
      <c r="H73" s="72"/>
      <c r="I73" s="48"/>
    </row>
    <row r="74" spans="1:9">
      <c r="A74" s="37" t="s">
        <v>260</v>
      </c>
      <c r="B74" s="39">
        <v>177299</v>
      </c>
      <c r="C74" s="33"/>
      <c r="D74" s="37" t="s">
        <v>263</v>
      </c>
      <c r="E74" s="39">
        <v>237029</v>
      </c>
      <c r="F74" s="33"/>
      <c r="G74" s="38" t="s">
        <v>111</v>
      </c>
      <c r="H74" s="74"/>
      <c r="I74" s="49"/>
    </row>
    <row r="75" spans="1:9" ht="13.5" thickBot="1">
      <c r="A75" s="37" t="s">
        <v>261</v>
      </c>
      <c r="B75" s="40">
        <v>75523</v>
      </c>
      <c r="C75" s="33"/>
      <c r="D75" s="37" t="s">
        <v>262</v>
      </c>
      <c r="E75" s="40">
        <v>58241</v>
      </c>
      <c r="F75" s="33"/>
      <c r="G75" s="38" t="s">
        <v>111</v>
      </c>
      <c r="H75" s="75"/>
      <c r="I75" s="49"/>
    </row>
    <row r="76" spans="1:9" ht="13.5" thickTop="1">
      <c r="A76" s="37" t="s">
        <v>117</v>
      </c>
      <c r="B76" s="35">
        <f>B73-B74-B75</f>
        <v>2598747</v>
      </c>
      <c r="C76" s="33"/>
      <c r="D76" s="37" t="s">
        <v>117</v>
      </c>
      <c r="E76" s="35">
        <f>E73-E74-E75</f>
        <v>3146455</v>
      </c>
      <c r="F76" s="33"/>
      <c r="G76" s="38" t="s">
        <v>117</v>
      </c>
      <c r="H76" s="72"/>
      <c r="I76" s="48"/>
    </row>
    <row r="77" spans="1:9" ht="13.5" thickBot="1">
      <c r="A77" s="37" t="s">
        <v>134</v>
      </c>
      <c r="B77" s="36">
        <f>'2014legmax.xls'!AQ42*Weightings!M5</f>
        <v>219534</v>
      </c>
      <c r="C77" s="33"/>
      <c r="D77" s="37" t="s">
        <v>134</v>
      </c>
      <c r="E77" s="36">
        <f>'2014legmax.xls'!AQ214*Weightings!M5</f>
        <v>298213</v>
      </c>
      <c r="F77" s="33"/>
      <c r="G77" s="38" t="s">
        <v>134</v>
      </c>
      <c r="H77" s="73"/>
      <c r="I77" s="48"/>
    </row>
    <row r="78" spans="1:9" ht="13.5" thickTop="1">
      <c r="A78" s="37" t="s">
        <v>611</v>
      </c>
      <c r="B78" s="35">
        <f>B76+B77</f>
        <v>2818281</v>
      </c>
      <c r="C78" s="33"/>
      <c r="D78" s="37" t="s">
        <v>611</v>
      </c>
      <c r="E78" s="35">
        <f>E76+E77</f>
        <v>3444668</v>
      </c>
      <c r="F78" s="33"/>
      <c r="G78" s="38" t="s">
        <v>259</v>
      </c>
      <c r="H78" s="72"/>
      <c r="I78" s="48"/>
    </row>
    <row r="79" spans="1:9" ht="13.5" thickBot="1">
      <c r="A79" s="41"/>
      <c r="B79" s="42"/>
      <c r="C79" s="44"/>
      <c r="D79" s="41"/>
      <c r="E79" s="42"/>
      <c r="F79" s="44"/>
      <c r="G79" s="45"/>
      <c r="H79" s="77"/>
      <c r="I79" s="50"/>
    </row>
    <row r="80" spans="1:9" ht="51" customHeight="1">
      <c r="A80" s="203" t="s">
        <v>598</v>
      </c>
      <c r="B80" s="204"/>
      <c r="C80" s="205"/>
      <c r="D80" s="203" t="s">
        <v>598</v>
      </c>
      <c r="E80" s="204"/>
      <c r="F80" s="205"/>
      <c r="G80" s="218" t="s">
        <v>598</v>
      </c>
      <c r="H80" s="219"/>
      <c r="I80" s="220"/>
    </row>
    <row r="81" spans="1:9">
      <c r="A81" s="32"/>
      <c r="B81" s="34" t="s">
        <v>258</v>
      </c>
      <c r="C81" s="33"/>
      <c r="D81" s="32"/>
      <c r="E81" s="34" t="s">
        <v>258</v>
      </c>
      <c r="F81" s="33"/>
      <c r="G81" s="71"/>
      <c r="H81" s="34" t="s">
        <v>258</v>
      </c>
      <c r="I81" s="47"/>
    </row>
    <row r="82" spans="1:9">
      <c r="A82" s="32"/>
      <c r="B82" s="34" t="s">
        <v>112</v>
      </c>
      <c r="C82" s="33"/>
      <c r="D82" s="32"/>
      <c r="E82" s="34" t="s">
        <v>112</v>
      </c>
      <c r="F82" s="33"/>
      <c r="G82" s="71"/>
      <c r="H82" s="34" t="s">
        <v>112</v>
      </c>
      <c r="I82" s="47"/>
    </row>
    <row r="83" spans="1:9">
      <c r="A83" s="32"/>
      <c r="B83" s="34" t="s">
        <v>126</v>
      </c>
      <c r="C83" s="33"/>
      <c r="D83" s="32"/>
      <c r="E83" s="34" t="s">
        <v>126</v>
      </c>
      <c r="F83" s="33"/>
      <c r="G83" s="71"/>
      <c r="H83" s="34" t="s">
        <v>126</v>
      </c>
      <c r="I83" s="47"/>
    </row>
    <row r="84" spans="1:9">
      <c r="A84" s="32"/>
      <c r="B84" s="35"/>
      <c r="C84" s="33"/>
      <c r="D84" s="32"/>
      <c r="E84" s="35"/>
      <c r="F84" s="33"/>
      <c r="G84" s="38" t="s">
        <v>0</v>
      </c>
      <c r="H84" s="72"/>
      <c r="I84" s="48"/>
    </row>
    <row r="85" spans="1:9" ht="13.5" thickBot="1">
      <c r="A85" s="32"/>
      <c r="B85" s="36"/>
      <c r="C85" s="33"/>
      <c r="D85" s="32"/>
      <c r="E85" s="36"/>
      <c r="F85" s="33"/>
      <c r="G85" s="38" t="s">
        <v>0</v>
      </c>
      <c r="H85" s="73"/>
      <c r="I85" s="48"/>
    </row>
    <row r="86" spans="1:9" ht="13.5" thickTop="1">
      <c r="A86" s="37" t="s">
        <v>113</v>
      </c>
      <c r="B86" s="35"/>
      <c r="C86" s="33"/>
      <c r="D86" s="37" t="s">
        <v>113</v>
      </c>
      <c r="E86" s="35"/>
      <c r="F86" s="33"/>
      <c r="G86" s="38" t="s">
        <v>113</v>
      </c>
      <c r="H86" s="72"/>
      <c r="I86" s="48"/>
    </row>
    <row r="87" spans="1:9">
      <c r="A87" s="37" t="s">
        <v>603</v>
      </c>
      <c r="B87" s="39"/>
      <c r="C87" s="33"/>
      <c r="D87" s="37" t="s">
        <v>603</v>
      </c>
      <c r="E87" s="39"/>
      <c r="F87" s="33"/>
      <c r="G87" s="38" t="s">
        <v>111</v>
      </c>
      <c r="H87" s="74"/>
      <c r="I87" s="49"/>
    </row>
    <row r="88" spans="1:9" ht="13.5" thickBot="1">
      <c r="A88" s="37" t="s">
        <v>111</v>
      </c>
      <c r="B88" s="40"/>
      <c r="C88" s="33"/>
      <c r="D88" s="37" t="s">
        <v>603</v>
      </c>
      <c r="E88" s="40"/>
      <c r="F88" s="33"/>
      <c r="G88" s="38" t="s">
        <v>111</v>
      </c>
      <c r="H88" s="75"/>
      <c r="I88" s="49"/>
    </row>
    <row r="89" spans="1:9" ht="13.5" thickTop="1">
      <c r="A89" s="37" t="s">
        <v>117</v>
      </c>
      <c r="B89" s="35"/>
      <c r="C89" s="33"/>
      <c r="D89" s="37" t="s">
        <v>117</v>
      </c>
      <c r="E89" s="35"/>
      <c r="F89" s="33"/>
      <c r="G89" s="38" t="s">
        <v>117</v>
      </c>
      <c r="H89" s="72"/>
      <c r="I89" s="48"/>
    </row>
    <row r="90" spans="1:9" ht="13.5" thickBot="1">
      <c r="A90" s="37" t="s">
        <v>134</v>
      </c>
      <c r="B90" s="36"/>
      <c r="C90" s="33"/>
      <c r="D90" s="37" t="s">
        <v>134</v>
      </c>
      <c r="E90" s="36"/>
      <c r="F90" s="33"/>
      <c r="G90" s="38" t="s">
        <v>134</v>
      </c>
      <c r="H90" s="73"/>
      <c r="I90" s="48"/>
    </row>
    <row r="91" spans="1:9" ht="13.5" thickTop="1">
      <c r="A91" s="37" t="s">
        <v>259</v>
      </c>
      <c r="B91" s="35"/>
      <c r="C91" s="33"/>
      <c r="D91" s="37" t="s">
        <v>259</v>
      </c>
      <c r="E91" s="35"/>
      <c r="F91" s="33"/>
      <c r="G91" s="38" t="s">
        <v>259</v>
      </c>
      <c r="H91" s="72"/>
      <c r="I91" s="48"/>
    </row>
    <row r="92" spans="1:9" ht="13.5" thickBot="1">
      <c r="A92" s="41"/>
      <c r="B92" s="42"/>
      <c r="C92" s="44"/>
      <c r="D92" s="41"/>
      <c r="E92" s="42"/>
      <c r="F92" s="44"/>
      <c r="G92" s="45"/>
      <c r="H92" s="77"/>
      <c r="I92" s="50"/>
    </row>
  </sheetData>
  <mergeCells count="21">
    <mergeCell ref="G67:I67"/>
    <mergeCell ref="G80:I80"/>
    <mergeCell ref="G2:I2"/>
    <mergeCell ref="G15:I15"/>
    <mergeCell ref="G28:I28"/>
    <mergeCell ref="G41:I41"/>
    <mergeCell ref="G54:I54"/>
    <mergeCell ref="A15:C15"/>
    <mergeCell ref="D15:F15"/>
    <mergeCell ref="A2:C2"/>
    <mergeCell ref="D2:F2"/>
    <mergeCell ref="A28:C28"/>
    <mergeCell ref="D28:F28"/>
    <mergeCell ref="A41:C41"/>
    <mergeCell ref="D41:F41"/>
    <mergeCell ref="A80:C80"/>
    <mergeCell ref="D80:F80"/>
    <mergeCell ref="A54:C54"/>
    <mergeCell ref="D54:F54"/>
    <mergeCell ref="A67:C67"/>
    <mergeCell ref="D67:F67"/>
  </mergeCells>
  <phoneticPr fontId="0" type="noConversion"/>
  <pageMargins left="0.25" right="0.25" top="0.5" bottom="0.5" header="0.5" footer="0.5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P290"/>
  <sheetViews>
    <sheetView workbookViewId="0">
      <pane ySplit="4" topLeftCell="A233" activePane="bottomLeft" state="frozen"/>
      <selection pane="bottomLeft"/>
    </sheetView>
  </sheetViews>
  <sheetFormatPr defaultColWidth="9.140625" defaultRowHeight="12.75"/>
  <cols>
    <col min="1" max="1" width="9.28515625" style="12" bestFit="1" customWidth="1"/>
    <col min="2" max="2" width="9.85546875" style="12" bestFit="1" customWidth="1"/>
    <col min="3" max="5" width="9.140625" style="12"/>
    <col min="6" max="6" width="9.28515625" style="12" bestFit="1" customWidth="1"/>
    <col min="7" max="7" width="10.85546875" style="12" bestFit="1" customWidth="1"/>
    <col min="8" max="8" width="9.140625" style="12"/>
    <col min="9" max="9" width="10.42578125" style="12" bestFit="1" customWidth="1"/>
    <col min="10" max="10" width="10.42578125" style="12" customWidth="1"/>
    <col min="11" max="15" width="9.140625" style="12"/>
    <col min="16" max="16" width="10.42578125" style="12" bestFit="1" customWidth="1"/>
    <col min="17" max="16384" width="9.140625" style="12"/>
  </cols>
  <sheetData>
    <row r="2" spans="1:16" ht="13.5" thickBot="1"/>
    <row r="3" spans="1:16" ht="13.5" thickTop="1">
      <c r="A3" s="224" t="s">
        <v>923</v>
      </c>
      <c r="B3" s="224"/>
      <c r="D3" s="221" t="s">
        <v>621</v>
      </c>
      <c r="E3" s="222"/>
      <c r="F3" s="222"/>
      <c r="G3" s="222"/>
      <c r="H3" s="222"/>
      <c r="I3" s="223"/>
      <c r="J3" s="162">
        <v>2.5000000000000001E-2</v>
      </c>
      <c r="L3" s="225" t="s">
        <v>927</v>
      </c>
      <c r="M3" s="226"/>
      <c r="N3" s="226"/>
      <c r="O3" s="226"/>
      <c r="P3" s="227"/>
    </row>
    <row r="4" spans="1:16">
      <c r="A4" s="12" t="s">
        <v>197</v>
      </c>
      <c r="B4" s="12" t="s">
        <v>616</v>
      </c>
      <c r="D4" s="126" t="s">
        <v>617</v>
      </c>
      <c r="E4" s="123" t="s">
        <v>618</v>
      </c>
      <c r="F4" s="123" t="s">
        <v>619</v>
      </c>
      <c r="G4" s="123" t="s">
        <v>620</v>
      </c>
      <c r="H4" s="123" t="s">
        <v>622</v>
      </c>
      <c r="I4" s="127" t="s">
        <v>623</v>
      </c>
      <c r="J4" s="125" t="s">
        <v>930</v>
      </c>
      <c r="L4" s="128"/>
      <c r="M4" s="125"/>
      <c r="N4" s="125"/>
      <c r="O4" s="125"/>
      <c r="P4" s="129"/>
    </row>
    <row r="5" spans="1:16">
      <c r="A5" s="54">
        <v>101</v>
      </c>
      <c r="B5" s="51">
        <v>731167</v>
      </c>
      <c r="D5" s="128" t="s">
        <v>297</v>
      </c>
      <c r="E5" s="35"/>
      <c r="F5" s="35"/>
      <c r="G5" s="35"/>
      <c r="H5" s="125"/>
      <c r="I5" s="129"/>
      <c r="J5" s="125" t="str">
        <f>IF(AND(G5&lt;&gt;"",(OR(G5&lt;'2014legmax.xls'!AZ5, (Weightings!G5-'2014legmax.xls'!AZ5)/'2014legmax.xls'!AZ5&gt;0.025))), "Confirm!", "")</f>
        <v/>
      </c>
      <c r="L5" s="128" t="s">
        <v>144</v>
      </c>
      <c r="M5" s="125">
        <v>3838</v>
      </c>
      <c r="N5" s="125"/>
      <c r="O5" s="125" t="s">
        <v>924</v>
      </c>
      <c r="P5" s="154">
        <v>1002.245</v>
      </c>
    </row>
    <row r="6" spans="1:16">
      <c r="A6" s="54">
        <v>102</v>
      </c>
      <c r="B6" s="51">
        <v>538383</v>
      </c>
      <c r="D6" s="128" t="s">
        <v>298</v>
      </c>
      <c r="E6" s="35"/>
      <c r="F6" s="35"/>
      <c r="G6" s="35"/>
      <c r="H6" s="125"/>
      <c r="I6" s="129"/>
      <c r="J6" s="125" t="str">
        <f>IF(AND(G6&lt;&gt;"",(OR(G6&lt;'2014legmax.xls'!AZ6, (Weightings!G6-'2014legmax.xls'!AZ6)/'2014legmax.xls'!AZ6&gt;0.025))), "Confirm!", "")</f>
        <v/>
      </c>
      <c r="L6" s="128" t="s">
        <v>140</v>
      </c>
      <c r="M6" s="125">
        <v>0.5</v>
      </c>
      <c r="N6" s="125"/>
      <c r="O6" s="125" t="s">
        <v>925</v>
      </c>
      <c r="P6" s="187">
        <v>-0.228101</v>
      </c>
    </row>
    <row r="7" spans="1:16">
      <c r="A7" s="54">
        <v>103</v>
      </c>
      <c r="B7" s="51">
        <v>190255</v>
      </c>
      <c r="D7" s="128" t="s">
        <v>299</v>
      </c>
      <c r="E7" s="35"/>
      <c r="F7" s="35"/>
      <c r="G7" s="35"/>
      <c r="H7" s="125"/>
      <c r="I7" s="129"/>
      <c r="J7" s="125" t="str">
        <f>IF(AND(G7&lt;&gt;"",(OR(G7&lt;'2014legmax.xls'!AZ7, (Weightings!G7-'2014legmax.xls'!AZ7)/'2014legmax.xls'!AZ7&gt;0.025))), "Confirm!", "")</f>
        <v/>
      </c>
      <c r="L7" s="128" t="s">
        <v>141</v>
      </c>
      <c r="M7" s="125">
        <v>0.39500000000000002</v>
      </c>
      <c r="N7" s="125"/>
      <c r="O7" s="125" t="s">
        <v>919</v>
      </c>
      <c r="P7" s="129">
        <v>585</v>
      </c>
    </row>
    <row r="8" spans="1:16">
      <c r="A8" s="54">
        <v>105</v>
      </c>
      <c r="B8" s="51">
        <v>333603</v>
      </c>
      <c r="D8" s="128" t="s">
        <v>300</v>
      </c>
      <c r="E8" s="35"/>
      <c r="F8" s="35"/>
      <c r="G8" s="35"/>
      <c r="H8" s="125"/>
      <c r="I8" s="129"/>
      <c r="J8" s="125" t="str">
        <f>IF(AND(G8&lt;&gt;"",(OR(G8&lt;'2014legmax.xls'!AZ8, (Weightings!G8-'2014legmax.xls'!AZ8)/'2014legmax.xls'!AZ8&gt;0.025))), "Confirm!", "")</f>
        <v/>
      </c>
      <c r="L8" s="128" t="s">
        <v>142</v>
      </c>
      <c r="M8" s="125">
        <v>0.45600000000000002</v>
      </c>
      <c r="N8" s="125"/>
      <c r="O8" s="125" t="s">
        <v>926</v>
      </c>
      <c r="P8" s="163">
        <v>1</v>
      </c>
    </row>
    <row r="9" spans="1:16">
      <c r="A9" s="54">
        <v>106</v>
      </c>
      <c r="B9" s="51">
        <v>151342</v>
      </c>
      <c r="D9" s="128" t="s">
        <v>301</v>
      </c>
      <c r="E9" s="35"/>
      <c r="F9" s="35"/>
      <c r="G9" s="35"/>
      <c r="H9" s="125"/>
      <c r="I9" s="129"/>
      <c r="J9" s="125" t="str">
        <f>IF(AND(G9&lt;&gt;"",(OR(G9&lt;'2014legmax.xls'!AZ9, (Weightings!G9-'2014legmax.xls'!AZ9)/'2014legmax.xls'!AZ9&gt;0.025))), "Confirm!", "")</f>
        <v/>
      </c>
      <c r="L9" s="128" t="s">
        <v>139</v>
      </c>
      <c r="M9" s="125">
        <v>4.65E-2</v>
      </c>
      <c r="N9" s="125"/>
      <c r="O9" s="125"/>
      <c r="P9" s="129"/>
    </row>
    <row r="10" spans="1:16">
      <c r="A10" s="54">
        <v>107</v>
      </c>
      <c r="B10" s="52">
        <f>267171+56043</f>
        <v>323214</v>
      </c>
      <c r="D10" s="128" t="s">
        <v>302</v>
      </c>
      <c r="E10" s="35"/>
      <c r="F10" s="35"/>
      <c r="G10" s="35"/>
      <c r="H10" s="125"/>
      <c r="I10" s="129"/>
      <c r="J10" s="125" t="str">
        <f>IF(AND(G10&lt;&gt;"",(OR(G10&lt;'2014legmax.xls'!AZ10, (Weightings!G10-'2014legmax.xls'!AZ10)/'2014legmax.xls'!AZ10&gt;0.025))), "Confirm!", "")</f>
        <v/>
      </c>
      <c r="L10" s="128" t="s">
        <v>143</v>
      </c>
      <c r="M10" s="125">
        <v>0.25</v>
      </c>
      <c r="N10" s="125"/>
      <c r="O10" s="125"/>
      <c r="P10" s="129"/>
    </row>
    <row r="11" spans="1:16">
      <c r="A11" s="54">
        <v>108</v>
      </c>
      <c r="B11" s="51">
        <v>548331</v>
      </c>
      <c r="D11" s="128" t="s">
        <v>303</v>
      </c>
      <c r="E11" s="35"/>
      <c r="F11" s="35"/>
      <c r="G11" s="35"/>
      <c r="H11" s="125"/>
      <c r="I11" s="129"/>
      <c r="J11" s="125" t="str">
        <f>IF(AND(G11&lt;&gt;"",(OR(G11&lt;'2014legmax.xls'!AZ11, (Weightings!G11-'2014legmax.xls'!AZ11)/'2014legmax.xls'!AZ11&gt;0.025))), "Confirm!", "")</f>
        <v/>
      </c>
      <c r="L11" s="128" t="s">
        <v>629</v>
      </c>
      <c r="M11" s="125">
        <v>250</v>
      </c>
      <c r="N11" s="125"/>
      <c r="O11" s="125"/>
      <c r="P11" s="129"/>
    </row>
    <row r="12" spans="1:16">
      <c r="A12" s="54">
        <v>109</v>
      </c>
      <c r="B12" s="51">
        <v>615260</v>
      </c>
      <c r="D12" s="128" t="s">
        <v>304</v>
      </c>
      <c r="E12" s="35"/>
      <c r="F12" s="35"/>
      <c r="G12" s="35"/>
      <c r="H12" s="125"/>
      <c r="I12" s="129"/>
      <c r="J12" s="125" t="str">
        <f>IF(AND(G12&lt;&gt;"",(OR(G12&lt;'2014legmax.xls'!AZ12, (Weightings!G12-'2014legmax.xls'!AZ12)/'2014legmax.xls'!AZ12&gt;0.025))), "Confirm!", "")</f>
        <v/>
      </c>
      <c r="L12" s="128"/>
      <c r="M12" s="125"/>
      <c r="N12" s="125"/>
      <c r="O12" s="125"/>
      <c r="P12" s="129"/>
    </row>
    <row r="13" spans="1:16">
      <c r="A13" s="54">
        <v>110</v>
      </c>
      <c r="B13" s="51">
        <v>333931</v>
      </c>
      <c r="D13" s="128" t="s">
        <v>305</v>
      </c>
      <c r="E13" s="35"/>
      <c r="F13" s="35"/>
      <c r="G13" s="35"/>
      <c r="H13" s="125"/>
      <c r="I13" s="129"/>
      <c r="J13" s="125" t="str">
        <f>IF(AND(G13&lt;&gt;"",(OR(G13&lt;'2014legmax.xls'!AZ13, (Weightings!G13-'2014legmax.xls'!AZ13)/'2014legmax.xls'!AZ13&gt;0.025))), "Confirm!", "")</f>
        <v/>
      </c>
      <c r="L13" s="128"/>
      <c r="M13" s="125"/>
      <c r="N13" s="125"/>
      <c r="O13" s="125"/>
      <c r="P13" s="129"/>
    </row>
    <row r="14" spans="1:16" ht="13.5" thickBot="1">
      <c r="A14" s="54">
        <v>111</v>
      </c>
      <c r="B14" s="52">
        <v>555221</v>
      </c>
      <c r="D14" s="128" t="s">
        <v>306</v>
      </c>
      <c r="E14" s="35"/>
      <c r="F14" s="35"/>
      <c r="G14" s="35"/>
      <c r="H14" s="125"/>
      <c r="I14" s="129"/>
      <c r="J14" s="125" t="str">
        <f>IF(AND(G14&lt;&gt;"",(OR(G14&lt;'2014legmax.xls'!AZ14, (Weightings!G14-'2014legmax.xls'!AZ14)/'2014legmax.xls'!AZ14&gt;0.025))), "Confirm!", "")</f>
        <v/>
      </c>
      <c r="L14" s="155"/>
      <c r="M14" s="156"/>
      <c r="N14" s="156"/>
      <c r="O14" s="156"/>
      <c r="P14" s="157"/>
    </row>
    <row r="15" spans="1:16" ht="13.5" thickTop="1">
      <c r="A15" s="54">
        <v>112</v>
      </c>
      <c r="B15" s="52">
        <v>685976</v>
      </c>
      <c r="D15" s="128" t="s">
        <v>307</v>
      </c>
      <c r="E15" s="35">
        <v>-6016</v>
      </c>
      <c r="F15" s="35"/>
      <c r="G15" s="35"/>
      <c r="H15" s="125">
        <v>26</v>
      </c>
      <c r="I15" s="129"/>
      <c r="J15" s="125" t="str">
        <f>IF(AND(G15&lt;&gt;"",(OR(G15&lt;'2014legmax.xls'!AZ15, (Weightings!G15-'2014legmax.xls'!AZ15)/'2014legmax.xls'!AZ15&gt;0.025))), "Confirm!", "")</f>
        <v/>
      </c>
    </row>
    <row r="16" spans="1:16">
      <c r="A16" s="54">
        <v>113</v>
      </c>
      <c r="B16" s="52">
        <v>1100793</v>
      </c>
      <c r="D16" s="128" t="s">
        <v>308</v>
      </c>
      <c r="E16" s="35"/>
      <c r="F16" s="35"/>
      <c r="G16" s="35"/>
      <c r="H16" s="125"/>
      <c r="I16" s="129"/>
      <c r="J16" s="125" t="str">
        <f>IF(AND(G16&lt;&gt;"",(OR(G16&lt;'2014legmax.xls'!AZ16, (Weightings!G16-'2014legmax.xls'!AZ16)/'2014legmax.xls'!AZ16&gt;0.025))), "Confirm!", "")</f>
        <v/>
      </c>
    </row>
    <row r="17" spans="1:10">
      <c r="A17" s="54">
        <v>114</v>
      </c>
      <c r="B17" s="52">
        <v>631555</v>
      </c>
      <c r="D17" s="128" t="s">
        <v>309</v>
      </c>
      <c r="E17" s="35"/>
      <c r="F17" s="35"/>
      <c r="G17" s="35"/>
      <c r="H17" s="125"/>
      <c r="I17" s="129"/>
      <c r="J17" s="125" t="str">
        <f>IF(AND(G17&lt;&gt;"",(OR(G17&lt;'2014legmax.xls'!AZ17, (Weightings!G17-'2014legmax.xls'!AZ17)/'2014legmax.xls'!AZ17&gt;0.025))), "Confirm!", "")</f>
        <v/>
      </c>
    </row>
    <row r="18" spans="1:10">
      <c r="A18" s="54">
        <v>115</v>
      </c>
      <c r="B18" s="52">
        <v>577233</v>
      </c>
      <c r="D18" s="128" t="s">
        <v>310</v>
      </c>
      <c r="E18" s="35"/>
      <c r="F18" s="35"/>
      <c r="G18" s="35"/>
      <c r="H18" s="125"/>
      <c r="I18" s="129"/>
      <c r="J18" s="125" t="str">
        <f>IF(AND(G18&lt;&gt;"",(OR(G18&lt;'2014legmax.xls'!AZ18, (Weightings!G18-'2014legmax.xls'!AZ18)/'2014legmax.xls'!AZ18&gt;0.025))), "Confirm!", "")</f>
        <v/>
      </c>
    </row>
    <row r="19" spans="1:10">
      <c r="A19" s="54">
        <v>200</v>
      </c>
      <c r="B19" s="51">
        <v>165851</v>
      </c>
      <c r="D19" s="128" t="s">
        <v>311</v>
      </c>
      <c r="E19" s="35"/>
      <c r="F19" s="35"/>
      <c r="G19" s="35">
        <v>1915175</v>
      </c>
      <c r="H19" s="125"/>
      <c r="I19" s="129"/>
      <c r="J19" s="125" t="str">
        <f>IF(AND(G19&lt;&gt;"",(OR(G19&lt;'2014legmax.xls'!AZ19, (Weightings!G19-'2014legmax.xls'!AZ19)/'2014legmax.xls'!AZ19&gt;0.025))), "Confirm!", "")</f>
        <v/>
      </c>
    </row>
    <row r="20" spans="1:10">
      <c r="A20" s="54">
        <v>202</v>
      </c>
      <c r="B20" s="51">
        <v>3234002</v>
      </c>
      <c r="D20" s="128" t="s">
        <v>312</v>
      </c>
      <c r="E20" s="35"/>
      <c r="F20" s="35"/>
      <c r="G20" s="35"/>
      <c r="H20" s="125"/>
      <c r="I20" s="129"/>
      <c r="J20" s="125" t="str">
        <f>IF(AND(G20&lt;&gt;"",(OR(G20&lt;'2014legmax.xls'!AZ20, (Weightings!G20-'2014legmax.xls'!AZ20)/'2014legmax.xls'!AZ20&gt;0.025))), "Confirm!", "")</f>
        <v/>
      </c>
    </row>
    <row r="21" spans="1:10">
      <c r="A21" s="54">
        <v>203</v>
      </c>
      <c r="B21" s="51">
        <v>1285790</v>
      </c>
      <c r="D21" s="128" t="s">
        <v>313</v>
      </c>
      <c r="E21" s="35"/>
      <c r="F21" s="35"/>
      <c r="G21" s="35"/>
      <c r="H21" s="125"/>
      <c r="I21" s="129"/>
      <c r="J21" s="125" t="str">
        <f>IF(AND(G21&lt;&gt;"",(OR(G21&lt;'2014legmax.xls'!AZ21, (Weightings!G21-'2014legmax.xls'!AZ21)/'2014legmax.xls'!AZ21&gt;0.025))), "Confirm!", "")</f>
        <v/>
      </c>
    </row>
    <row r="22" spans="1:10">
      <c r="A22" s="54">
        <v>204</v>
      </c>
      <c r="B22" s="51">
        <v>2016420</v>
      </c>
      <c r="D22" s="128" t="s">
        <v>314</v>
      </c>
      <c r="E22" s="35">
        <v>-1725</v>
      </c>
      <c r="F22" s="35"/>
      <c r="G22" s="35"/>
      <c r="H22" s="125"/>
      <c r="I22" s="129"/>
      <c r="J22" s="125" t="str">
        <f>IF(AND(G22&lt;&gt;"",(OR(G22&lt;'2014legmax.xls'!AZ22, (Weightings!G22-'2014legmax.xls'!AZ22)/'2014legmax.xls'!AZ22&gt;0.025))), "Confirm!", "")</f>
        <v/>
      </c>
    </row>
    <row r="23" spans="1:10">
      <c r="A23" s="54">
        <v>205</v>
      </c>
      <c r="B23" s="51">
        <v>606474</v>
      </c>
      <c r="D23" s="128" t="s">
        <v>315</v>
      </c>
      <c r="E23" s="35"/>
      <c r="F23" s="35"/>
      <c r="G23" s="35"/>
      <c r="H23" s="125"/>
      <c r="I23" s="129"/>
      <c r="J23" s="125" t="str">
        <f>IF(AND(G23&lt;&gt;"",(OR(G23&lt;'2014legmax.xls'!AZ23, (Weightings!G23-'2014legmax.xls'!AZ23)/'2014legmax.xls'!AZ23&gt;0.025))), "Confirm!", "")</f>
        <v/>
      </c>
    </row>
    <row r="24" spans="1:10">
      <c r="A24" s="54">
        <v>206</v>
      </c>
      <c r="B24" s="51">
        <v>531708</v>
      </c>
      <c r="D24" s="128" t="s">
        <v>316</v>
      </c>
      <c r="E24" s="35"/>
      <c r="F24" s="35"/>
      <c r="G24" s="35"/>
      <c r="H24" s="125"/>
      <c r="I24" s="129"/>
      <c r="J24" s="125" t="str">
        <f>IF(AND(G24&lt;&gt;"",(OR(G24&lt;'2014legmax.xls'!AZ24, (Weightings!G24-'2014legmax.xls'!AZ24)/'2014legmax.xls'!AZ24&gt;0.025))), "Confirm!", "")</f>
        <v/>
      </c>
    </row>
    <row r="25" spans="1:10">
      <c r="A25" s="54">
        <v>207</v>
      </c>
      <c r="B25" s="51">
        <v>1239600</v>
      </c>
      <c r="D25" s="128" t="s">
        <v>317</v>
      </c>
      <c r="E25" s="35"/>
      <c r="F25" s="35"/>
      <c r="G25" s="35"/>
      <c r="H25" s="125"/>
      <c r="I25" s="129"/>
      <c r="J25" s="125" t="str">
        <f>IF(AND(G25&lt;&gt;"",(OR(G25&lt;'2014legmax.xls'!AZ25, (Weightings!G25-'2014legmax.xls'!AZ25)/'2014legmax.xls'!AZ25&gt;0.025))), "Confirm!", "")</f>
        <v/>
      </c>
    </row>
    <row r="26" spans="1:10">
      <c r="A26" s="54">
        <v>208</v>
      </c>
      <c r="B26" s="51">
        <v>509998</v>
      </c>
      <c r="D26" s="128" t="s">
        <v>318</v>
      </c>
      <c r="E26" s="35">
        <v>-3217</v>
      </c>
      <c r="F26" s="35"/>
      <c r="G26" s="35"/>
      <c r="H26" s="125">
        <v>2</v>
      </c>
      <c r="I26" s="129"/>
      <c r="J26" s="125" t="str">
        <f>IF(AND(G26&lt;&gt;"",(OR(G26&lt;'2014legmax.xls'!AZ26, (Weightings!G26-'2014legmax.xls'!AZ26)/'2014legmax.xls'!AZ26&gt;0.025))), "Confirm!", "")</f>
        <v/>
      </c>
    </row>
    <row r="27" spans="1:10">
      <c r="A27" s="54">
        <v>209</v>
      </c>
      <c r="B27" s="51">
        <v>138161</v>
      </c>
      <c r="D27" s="128" t="s">
        <v>319</v>
      </c>
      <c r="E27" s="35"/>
      <c r="F27" s="35"/>
      <c r="G27" s="35">
        <v>1782367</v>
      </c>
      <c r="H27" s="125"/>
      <c r="I27" s="129"/>
      <c r="J27" s="125" t="str">
        <f>IF(AND(G27&lt;&gt;"",(OR(G27&lt;'2014legmax.xls'!AZ27, (Weightings!G27-'2014legmax.xls'!AZ27)/'2014legmax.xls'!AZ27&gt;0.025))), "Confirm!", "")</f>
        <v/>
      </c>
    </row>
    <row r="28" spans="1:10">
      <c r="A28" s="54">
        <v>210</v>
      </c>
      <c r="B28" s="51">
        <v>622779</v>
      </c>
      <c r="D28" s="128" t="s">
        <v>320</v>
      </c>
      <c r="E28" s="35"/>
      <c r="F28" s="35"/>
      <c r="G28" s="35">
        <v>7451477</v>
      </c>
      <c r="H28" s="125"/>
      <c r="I28" s="129"/>
      <c r="J28" s="125" t="str">
        <f>IF(AND(G28&lt;&gt;"",(OR(G28&lt;'2014legmax.xls'!AZ28, (Weightings!G28-'2014legmax.xls'!AZ28)/'2014legmax.xls'!AZ28&gt;0.025))), "Confirm!", "")</f>
        <v/>
      </c>
    </row>
    <row r="29" spans="1:10">
      <c r="A29" s="54">
        <v>211</v>
      </c>
      <c r="B29" s="53">
        <v>866534</v>
      </c>
      <c r="D29" s="130" t="s">
        <v>321</v>
      </c>
      <c r="E29" s="35"/>
      <c r="F29" s="35"/>
      <c r="G29" s="35"/>
      <c r="H29" s="125"/>
      <c r="I29" s="129"/>
      <c r="J29" s="125" t="str">
        <f>IF(AND(G29&lt;&gt;"",(OR(G29&lt;'2014legmax.xls'!AZ29, (Weightings!G29-'2014legmax.xls'!AZ29)/'2014legmax.xls'!AZ29&gt;0.025))), "Confirm!", "")</f>
        <v/>
      </c>
    </row>
    <row r="30" spans="1:10">
      <c r="A30" s="54">
        <v>212</v>
      </c>
      <c r="B30" s="51">
        <v>247100</v>
      </c>
      <c r="D30" s="128" t="s">
        <v>322</v>
      </c>
      <c r="E30" s="35"/>
      <c r="F30" s="35"/>
      <c r="G30" s="35"/>
      <c r="H30" s="125"/>
      <c r="I30" s="129"/>
      <c r="J30" s="125" t="str">
        <f>IF(AND(G30&lt;&gt;"",(OR(G30&lt;'2014legmax.xls'!AZ30, (Weightings!G30-'2014legmax.xls'!AZ30)/'2014legmax.xls'!AZ30&gt;0.025))), "Confirm!", "")</f>
        <v/>
      </c>
    </row>
    <row r="31" spans="1:10">
      <c r="A31" s="54">
        <v>214</v>
      </c>
      <c r="B31" s="51">
        <v>994230</v>
      </c>
      <c r="D31" s="128" t="s">
        <v>323</v>
      </c>
      <c r="E31" s="35"/>
      <c r="F31" s="35"/>
      <c r="G31" s="35">
        <v>10151126</v>
      </c>
      <c r="H31" s="125">
        <v>16</v>
      </c>
      <c r="I31" s="129"/>
      <c r="J31" s="125" t="str">
        <f>IF(AND(G31&lt;&gt;"",(OR(G31&lt;'2014legmax.xls'!AZ31, (Weightings!G31-'2014legmax.xls'!AZ31)/'2014legmax.xls'!AZ31&gt;0.025))), "Confirm!", "")</f>
        <v/>
      </c>
    </row>
    <row r="32" spans="1:10">
      <c r="A32" s="54">
        <v>215</v>
      </c>
      <c r="B32" s="51">
        <v>396551</v>
      </c>
      <c r="D32" s="128" t="s">
        <v>324</v>
      </c>
      <c r="E32" s="35">
        <v>-3105</v>
      </c>
      <c r="F32" s="35"/>
      <c r="G32" s="35">
        <v>4665089</v>
      </c>
      <c r="H32" s="125">
        <v>23</v>
      </c>
      <c r="I32" s="129"/>
      <c r="J32" s="125" t="str">
        <f>IF(AND(G32&lt;&gt;"",(OR(G32&lt;'2014legmax.xls'!AZ32, (Weightings!G32-'2014legmax.xls'!AZ32)/'2014legmax.xls'!AZ32&gt;0.025))), "Confirm!", "")</f>
        <v/>
      </c>
    </row>
    <row r="33" spans="1:10">
      <c r="A33" s="54">
        <v>216</v>
      </c>
      <c r="B33" s="51">
        <v>205889</v>
      </c>
      <c r="D33" s="128" t="s">
        <v>325</v>
      </c>
      <c r="E33" s="35"/>
      <c r="F33" s="35"/>
      <c r="G33" s="35"/>
      <c r="H33" s="125"/>
      <c r="I33" s="129"/>
      <c r="J33" s="125" t="str">
        <f>IF(AND(G33&lt;&gt;"",(OR(G33&lt;'2014legmax.xls'!AZ33, (Weightings!G33-'2014legmax.xls'!AZ33)/'2014legmax.xls'!AZ33&gt;0.025))), "Confirm!", "")</f>
        <v/>
      </c>
    </row>
    <row r="34" spans="1:10">
      <c r="A34" s="54">
        <v>217</v>
      </c>
      <c r="B34" s="51">
        <v>146340</v>
      </c>
      <c r="D34" s="128" t="s">
        <v>326</v>
      </c>
      <c r="E34" s="35">
        <v>-2907</v>
      </c>
      <c r="F34" s="35"/>
      <c r="G34" s="35"/>
      <c r="H34" s="125">
        <v>2</v>
      </c>
      <c r="I34" s="129"/>
      <c r="J34" s="125" t="str">
        <f>IF(AND(G34&lt;&gt;"",(OR(G34&lt;'2014legmax.xls'!AZ34, (Weightings!G34-'2014legmax.xls'!AZ34)/'2014legmax.xls'!AZ34&gt;0.025))), "Confirm!", "")</f>
        <v/>
      </c>
    </row>
    <row r="35" spans="1:10">
      <c r="A35" s="54">
        <v>218</v>
      </c>
      <c r="B35" s="51">
        <v>390789</v>
      </c>
      <c r="D35" s="128" t="s">
        <v>327</v>
      </c>
      <c r="E35" s="35"/>
      <c r="F35" s="35"/>
      <c r="G35" s="35"/>
      <c r="H35" s="125"/>
      <c r="I35" s="129"/>
      <c r="J35" s="125" t="str">
        <f>IF(AND(G35&lt;&gt;"",(OR(G35&lt;'2014legmax.xls'!AZ35, (Weightings!G35-'2014legmax.xls'!AZ35)/'2014legmax.xls'!AZ35&gt;0.025))), "Confirm!", "")</f>
        <v/>
      </c>
    </row>
    <row r="36" spans="1:10">
      <c r="A36" s="54">
        <v>219</v>
      </c>
      <c r="B36" s="51">
        <v>247823</v>
      </c>
      <c r="D36" s="128" t="s">
        <v>328</v>
      </c>
      <c r="E36" s="35"/>
      <c r="F36" s="35"/>
      <c r="G36" s="35"/>
      <c r="H36" s="125"/>
      <c r="I36" s="129"/>
      <c r="J36" s="125" t="str">
        <f>IF(AND(G36&lt;&gt;"",(OR(G36&lt;'2014legmax.xls'!AZ36, (Weightings!G36-'2014legmax.xls'!AZ36)/'2014legmax.xls'!AZ36&gt;0.025))), "Confirm!", "")</f>
        <v/>
      </c>
    </row>
    <row r="37" spans="1:10">
      <c r="A37" s="54">
        <v>220</v>
      </c>
      <c r="B37" s="51">
        <v>198681</v>
      </c>
      <c r="D37" s="128" t="s">
        <v>329</v>
      </c>
      <c r="E37" s="35"/>
      <c r="F37" s="35"/>
      <c r="G37" s="35"/>
      <c r="H37" s="125"/>
      <c r="I37" s="129"/>
      <c r="J37" s="125" t="str">
        <f>IF(AND(G37&lt;&gt;"",(OR(G37&lt;'2014legmax.xls'!AZ37, (Weightings!G37-'2014legmax.xls'!AZ37)/'2014legmax.xls'!AZ37&gt;0.025))), "Confirm!", "")</f>
        <v/>
      </c>
    </row>
    <row r="38" spans="1:10">
      <c r="A38" s="54">
        <v>223</v>
      </c>
      <c r="B38" s="51">
        <v>427159</v>
      </c>
      <c r="D38" s="128" t="s">
        <v>330</v>
      </c>
      <c r="E38" s="35"/>
      <c r="F38" s="35"/>
      <c r="G38" s="35"/>
      <c r="H38" s="125"/>
      <c r="I38" s="129"/>
      <c r="J38" s="125" t="str">
        <f>IF(AND(G38&lt;&gt;"",(OR(G38&lt;'2014legmax.xls'!AZ38, (Weightings!G38-'2014legmax.xls'!AZ38)/'2014legmax.xls'!AZ38&gt;0.025))), "Confirm!", "")</f>
        <v/>
      </c>
    </row>
    <row r="39" spans="1:10">
      <c r="A39" s="54">
        <v>224</v>
      </c>
      <c r="B39" s="51">
        <v>347858</v>
      </c>
      <c r="D39" s="128" t="s">
        <v>331</v>
      </c>
      <c r="E39" s="35"/>
      <c r="F39" s="35"/>
      <c r="G39" s="35"/>
      <c r="H39" s="125"/>
      <c r="I39" s="129"/>
      <c r="J39" s="125" t="str">
        <f>IF(AND(G39&lt;&gt;"",(OR(G39&lt;'2014legmax.xls'!AZ39, (Weightings!G39-'2014legmax.xls'!AZ39)/'2014legmax.xls'!AZ39&gt;0.025))), "Confirm!", "")</f>
        <v/>
      </c>
    </row>
    <row r="40" spans="1:10">
      <c r="A40" s="54">
        <v>225</v>
      </c>
      <c r="B40" s="51">
        <v>152787</v>
      </c>
      <c r="D40" s="128" t="s">
        <v>332</v>
      </c>
      <c r="E40" s="35"/>
      <c r="F40" s="35"/>
      <c r="G40" s="35"/>
      <c r="H40" s="125"/>
      <c r="I40" s="129"/>
      <c r="J40" s="125" t="str">
        <f>IF(AND(G40&lt;&gt;"",(OR(G40&lt;'2014legmax.xls'!AZ40, (Weightings!G40-'2014legmax.xls'!AZ40)/'2014legmax.xls'!AZ40&gt;0.025))), "Confirm!", "")</f>
        <v/>
      </c>
    </row>
    <row r="41" spans="1:10">
      <c r="A41" s="54">
        <v>226</v>
      </c>
      <c r="B41" s="51">
        <v>393594</v>
      </c>
      <c r="D41" s="128" t="s">
        <v>333</v>
      </c>
      <c r="E41" s="35"/>
      <c r="F41" s="35"/>
      <c r="G41" s="35"/>
      <c r="H41" s="125"/>
      <c r="I41" s="129"/>
      <c r="J41" s="125" t="str">
        <f>IF(AND(G41&lt;&gt;"",(OR(G41&lt;'2014legmax.xls'!AZ41, (Weightings!G41-'2014legmax.xls'!AZ41)/'2014legmax.xls'!AZ41&gt;0.025))), "Confirm!", "")</f>
        <v/>
      </c>
    </row>
    <row r="42" spans="1:10">
      <c r="A42" s="54">
        <v>227</v>
      </c>
      <c r="B42" s="53">
        <v>320652</v>
      </c>
      <c r="D42" s="128" t="s">
        <v>334</v>
      </c>
      <c r="E42" s="35"/>
      <c r="F42" s="35"/>
      <c r="G42" s="35"/>
      <c r="H42" s="125"/>
      <c r="I42" s="129"/>
      <c r="J42" s="125" t="str">
        <f>IF(AND(G42&lt;&gt;"",(OR(G42&lt;'2014legmax.xls'!AZ42, (Weightings!G42-'2014legmax.xls'!AZ42)/'2014legmax.xls'!AZ42&gt;0.025))), "Confirm!", "")</f>
        <v/>
      </c>
    </row>
    <row r="43" spans="1:10">
      <c r="A43" s="54">
        <v>229</v>
      </c>
      <c r="B43" s="51">
        <v>19935033</v>
      </c>
      <c r="D43" s="128" t="s">
        <v>335</v>
      </c>
      <c r="E43" s="35">
        <v>-35645</v>
      </c>
      <c r="F43" s="35"/>
      <c r="G43" s="35"/>
      <c r="H43" s="125">
        <v>15</v>
      </c>
      <c r="I43" s="129"/>
      <c r="J43" s="125" t="str">
        <f>IF(AND(G43&lt;&gt;"",(OR(G43&lt;'2014legmax.xls'!AZ43, (Weightings!G43-'2014legmax.xls'!AZ43)/'2014legmax.xls'!AZ43&gt;0.025))), "Confirm!", "")</f>
        <v/>
      </c>
    </row>
    <row r="44" spans="1:10">
      <c r="A44" s="54">
        <v>230</v>
      </c>
      <c r="B44" s="51">
        <v>1621297</v>
      </c>
      <c r="D44" s="128" t="s">
        <v>336</v>
      </c>
      <c r="E44" s="35">
        <v>-2874</v>
      </c>
      <c r="F44" s="35"/>
      <c r="G44" s="35"/>
      <c r="H44" s="125">
        <v>18</v>
      </c>
      <c r="I44" s="129"/>
      <c r="J44" s="125" t="str">
        <f>IF(AND(G44&lt;&gt;"",(OR(G44&lt;'2014legmax.xls'!AZ44, (Weightings!G44-'2014legmax.xls'!AZ44)/'2014legmax.xls'!AZ44&gt;0.025))), "Confirm!", "")</f>
        <v/>
      </c>
    </row>
    <row r="45" spans="1:10">
      <c r="A45" s="54">
        <v>231</v>
      </c>
      <c r="B45" s="51">
        <v>4523118</v>
      </c>
      <c r="D45" s="128" t="s">
        <v>337</v>
      </c>
      <c r="E45" s="35"/>
      <c r="F45" s="35"/>
      <c r="G45" s="35"/>
      <c r="H45" s="125"/>
      <c r="I45" s="129"/>
      <c r="J45" s="125" t="str">
        <f>IF(AND(G45&lt;&gt;"",(OR(G45&lt;'2014legmax.xls'!AZ45, (Weightings!G45-'2014legmax.xls'!AZ45)/'2014legmax.xls'!AZ45&gt;0.025))), "Confirm!", "")</f>
        <v/>
      </c>
    </row>
    <row r="46" spans="1:10">
      <c r="A46" s="54">
        <v>232</v>
      </c>
      <c r="B46" s="51">
        <v>4437654</v>
      </c>
      <c r="D46" s="128" t="s">
        <v>338</v>
      </c>
      <c r="E46" s="35"/>
      <c r="F46" s="35"/>
      <c r="G46" s="35"/>
      <c r="H46" s="125"/>
      <c r="I46" s="129"/>
      <c r="J46" s="125" t="str">
        <f>IF(AND(G46&lt;&gt;"",(OR(G46&lt;'2014legmax.xls'!AZ46, (Weightings!G46-'2014legmax.xls'!AZ46)/'2014legmax.xls'!AZ46&gt;0.025))), "Confirm!", "")</f>
        <v/>
      </c>
    </row>
    <row r="47" spans="1:10">
      <c r="A47" s="54">
        <v>233</v>
      </c>
      <c r="B47" s="51">
        <v>27522172</v>
      </c>
      <c r="D47" s="128" t="s">
        <v>339</v>
      </c>
      <c r="E47" s="35">
        <v>-1150</v>
      </c>
      <c r="F47" s="35"/>
      <c r="G47" s="35">
        <v>165917124</v>
      </c>
      <c r="H47" s="125"/>
      <c r="I47" s="129"/>
      <c r="J47" s="125" t="str">
        <f>IF(AND(G47&lt;&gt;"",(OR(G47&lt;'2014legmax.xls'!AZ47, (Weightings!G47-'2014legmax.xls'!AZ47)/'2014legmax.xls'!AZ47&gt;0.025))), "Confirm!", "")</f>
        <v/>
      </c>
    </row>
    <row r="48" spans="1:10">
      <c r="A48" s="54">
        <v>234</v>
      </c>
      <c r="B48" s="51">
        <v>1149929</v>
      </c>
      <c r="D48" s="128" t="s">
        <v>340</v>
      </c>
      <c r="E48" s="35">
        <v>-6957</v>
      </c>
      <c r="F48" s="35"/>
      <c r="G48" s="35"/>
      <c r="H48" s="125">
        <v>11</v>
      </c>
      <c r="I48" s="129"/>
      <c r="J48" s="125" t="str">
        <f>IF(AND(G48&lt;&gt;"",(OR(G48&lt;'2014legmax.xls'!AZ48, (Weightings!G48-'2014legmax.xls'!AZ48)/'2014legmax.xls'!AZ48&gt;0.025))), "Confirm!", "")</f>
        <v/>
      </c>
    </row>
    <row r="49" spans="1:10">
      <c r="A49" s="54">
        <v>235</v>
      </c>
      <c r="B49" s="51">
        <v>371669</v>
      </c>
      <c r="D49" s="128" t="s">
        <v>341</v>
      </c>
      <c r="E49" s="35"/>
      <c r="F49" s="35"/>
      <c r="G49" s="35"/>
      <c r="H49" s="125"/>
      <c r="I49" s="129"/>
      <c r="J49" s="125" t="str">
        <f>IF(AND(G49&lt;&gt;"",(OR(G49&lt;'2014legmax.xls'!AZ49, (Weightings!G49-'2014legmax.xls'!AZ49)/'2014legmax.xls'!AZ49&gt;0.025))), "Confirm!", "")</f>
        <v/>
      </c>
    </row>
    <row r="50" spans="1:10">
      <c r="A50" s="54">
        <v>237</v>
      </c>
      <c r="B50" s="51">
        <v>586035</v>
      </c>
      <c r="D50" s="128" t="s">
        <v>342</v>
      </c>
      <c r="E50" s="35"/>
      <c r="F50" s="35"/>
      <c r="G50" s="35">
        <v>3226660</v>
      </c>
      <c r="H50" s="125">
        <v>21</v>
      </c>
      <c r="I50" s="129"/>
      <c r="J50" s="125" t="str">
        <f>IF(AND(G50&lt;&gt;"",(OR(G50&lt;'2014legmax.xls'!AZ50, (Weightings!G50-'2014legmax.xls'!AZ50)/'2014legmax.xls'!AZ50&gt;0.025))), "Confirm!", "")</f>
        <v>Confirm!</v>
      </c>
    </row>
    <row r="51" spans="1:10">
      <c r="A51" s="54">
        <v>239</v>
      </c>
      <c r="B51" s="51">
        <v>614442</v>
      </c>
      <c r="D51" s="128" t="s">
        <v>343</v>
      </c>
      <c r="E51" s="35"/>
      <c r="F51" s="35"/>
      <c r="G51" s="35">
        <v>4660100</v>
      </c>
      <c r="H51" s="125">
        <v>16</v>
      </c>
      <c r="I51" s="129"/>
      <c r="J51" s="125" t="str">
        <f>IF(AND(G51&lt;&gt;"",(OR(G51&lt;'2014legmax.xls'!AZ51, (Weightings!G51-'2014legmax.xls'!AZ51)/'2014legmax.xls'!AZ51&gt;0.025))), "Confirm!", "")</f>
        <v>Confirm!</v>
      </c>
    </row>
    <row r="52" spans="1:10">
      <c r="A52" s="54">
        <v>240</v>
      </c>
      <c r="B52" s="51">
        <v>594084</v>
      </c>
      <c r="D52" s="128" t="s">
        <v>344</v>
      </c>
      <c r="E52" s="35">
        <v>-1096</v>
      </c>
      <c r="F52" s="35"/>
      <c r="G52" s="35">
        <v>4449091</v>
      </c>
      <c r="H52" s="125">
        <v>10</v>
      </c>
      <c r="I52" s="129"/>
      <c r="J52" s="125" t="str">
        <f>IF(AND(G52&lt;&gt;"",(OR(G52&lt;'2014legmax.xls'!AZ52, (Weightings!G52-'2014legmax.xls'!AZ52)/'2014legmax.xls'!AZ52&gt;0.025))), "Confirm!", "")</f>
        <v/>
      </c>
    </row>
    <row r="53" spans="1:10">
      <c r="A53" s="54">
        <v>241</v>
      </c>
      <c r="B53" s="51">
        <v>156774</v>
      </c>
      <c r="D53" s="128" t="s">
        <v>345</v>
      </c>
      <c r="E53" s="35"/>
      <c r="F53" s="35"/>
      <c r="G53" s="35"/>
      <c r="H53" s="125"/>
      <c r="I53" s="129"/>
      <c r="J53" s="125" t="str">
        <f>IF(AND(G53&lt;&gt;"",(OR(G53&lt;'2014legmax.xls'!AZ53, (Weightings!G53-'2014legmax.xls'!AZ53)/'2014legmax.xls'!AZ53&gt;0.025))), "Confirm!", "")</f>
        <v/>
      </c>
    </row>
    <row r="54" spans="1:10">
      <c r="A54" s="54">
        <v>242</v>
      </c>
      <c r="B54" s="51">
        <v>98257</v>
      </c>
      <c r="D54" s="128" t="s">
        <v>346</v>
      </c>
      <c r="E54" s="35"/>
      <c r="F54" s="35"/>
      <c r="G54" s="35"/>
      <c r="H54" s="125"/>
      <c r="I54" s="129"/>
      <c r="J54" s="125" t="str">
        <f>IF(AND(G54&lt;&gt;"",(OR(G54&lt;'2014legmax.xls'!AZ54, (Weightings!G54-'2014legmax.xls'!AZ54)/'2014legmax.xls'!AZ54&gt;0.025))), "Confirm!", "")</f>
        <v/>
      </c>
    </row>
    <row r="55" spans="1:10">
      <c r="A55" s="54">
        <v>243</v>
      </c>
      <c r="B55" s="51">
        <v>440826</v>
      </c>
      <c r="D55" s="128" t="s">
        <v>347</v>
      </c>
      <c r="E55" s="35">
        <v>-3481</v>
      </c>
      <c r="F55" s="35"/>
      <c r="G55" s="35"/>
      <c r="H55" s="125"/>
      <c r="I55" s="129"/>
      <c r="J55" s="125" t="str">
        <f>IF(AND(G55&lt;&gt;"",(OR(G55&lt;'2014legmax.xls'!AZ55, (Weightings!G55-'2014legmax.xls'!AZ55)/'2014legmax.xls'!AZ55&gt;0.025))), "Confirm!", "")</f>
        <v/>
      </c>
    </row>
    <row r="56" spans="1:10">
      <c r="A56" s="54">
        <v>244</v>
      </c>
      <c r="B56" s="51">
        <v>1300350</v>
      </c>
      <c r="D56" s="128" t="s">
        <v>348</v>
      </c>
      <c r="E56" s="35"/>
      <c r="F56" s="35"/>
      <c r="G56" s="35"/>
      <c r="H56" s="125"/>
      <c r="I56" s="129"/>
      <c r="J56" s="125" t="str">
        <f>IF(AND(G56&lt;&gt;"",(OR(G56&lt;'2014legmax.xls'!AZ56, (Weightings!G56-'2014legmax.xls'!AZ56)/'2014legmax.xls'!AZ56&gt;0.025))), "Confirm!", "")</f>
        <v/>
      </c>
    </row>
    <row r="57" spans="1:10">
      <c r="A57" s="54">
        <v>245</v>
      </c>
      <c r="B57" s="51">
        <v>300551</v>
      </c>
      <c r="D57" s="128" t="s">
        <v>349</v>
      </c>
      <c r="E57" s="35">
        <v>-2398</v>
      </c>
      <c r="F57" s="35"/>
      <c r="G57" s="35"/>
      <c r="H57" s="125">
        <v>11</v>
      </c>
      <c r="I57" s="129"/>
      <c r="J57" s="125" t="str">
        <f>IF(AND(G57&lt;&gt;"",(OR(G57&lt;'2014legmax.xls'!AZ57, (Weightings!G57-'2014legmax.xls'!AZ57)/'2014legmax.xls'!AZ57&gt;0.025))), "Confirm!", "")</f>
        <v/>
      </c>
    </row>
    <row r="58" spans="1:10">
      <c r="A58" s="54">
        <v>246</v>
      </c>
      <c r="B58" s="51">
        <v>520996</v>
      </c>
      <c r="D58" s="128" t="s">
        <v>350</v>
      </c>
      <c r="E58" s="35"/>
      <c r="F58" s="35"/>
      <c r="G58" s="35"/>
      <c r="H58" s="125"/>
      <c r="I58" s="129"/>
      <c r="J58" s="125" t="str">
        <f>IF(AND(G58&lt;&gt;"",(OR(G58&lt;'2014legmax.xls'!AZ58, (Weightings!G58-'2014legmax.xls'!AZ58)/'2014legmax.xls'!AZ58&gt;0.025))), "Confirm!", "")</f>
        <v/>
      </c>
    </row>
    <row r="59" spans="1:10">
      <c r="A59" s="54">
        <v>247</v>
      </c>
      <c r="B59" s="51">
        <v>656640</v>
      </c>
      <c r="D59" s="128" t="s">
        <v>351</v>
      </c>
      <c r="E59" s="35"/>
      <c r="F59" s="35"/>
      <c r="G59" s="35"/>
      <c r="H59" s="125"/>
      <c r="I59" s="129"/>
      <c r="J59" s="125" t="str">
        <f>IF(AND(G59&lt;&gt;"",(OR(G59&lt;'2014legmax.xls'!AZ59, (Weightings!G59-'2014legmax.xls'!AZ59)/'2014legmax.xls'!AZ59&gt;0.025))), "Confirm!", "")</f>
        <v/>
      </c>
    </row>
    <row r="60" spans="1:10">
      <c r="A60" s="54">
        <v>248</v>
      </c>
      <c r="B60" s="51">
        <v>846550</v>
      </c>
      <c r="D60" s="128" t="s">
        <v>352</v>
      </c>
      <c r="E60" s="35">
        <v>-3753</v>
      </c>
      <c r="F60" s="35"/>
      <c r="G60" s="35"/>
      <c r="H60" s="125">
        <v>12</v>
      </c>
      <c r="I60" s="129"/>
      <c r="J60" s="125" t="str">
        <f>IF(AND(G60&lt;&gt;"",(OR(G60&lt;'2014legmax.xls'!AZ60, (Weightings!G60-'2014legmax.xls'!AZ60)/'2014legmax.xls'!AZ60&gt;0.025))), "Confirm!", "")</f>
        <v/>
      </c>
    </row>
    <row r="61" spans="1:10">
      <c r="A61" s="54">
        <v>249</v>
      </c>
      <c r="B61" s="51">
        <v>643130</v>
      </c>
      <c r="D61" s="128" t="s">
        <v>353</v>
      </c>
      <c r="E61" s="35">
        <v>-817</v>
      </c>
      <c r="F61" s="35"/>
      <c r="G61" s="35">
        <v>5957344</v>
      </c>
      <c r="H61" s="125">
        <v>25</v>
      </c>
      <c r="I61" s="129"/>
      <c r="J61" s="125" t="str">
        <f>IF(AND(G61&lt;&gt;"",(OR(G61&lt;'2014legmax.xls'!AZ61, (Weightings!G61-'2014legmax.xls'!AZ61)/'2014legmax.xls'!AZ61&gt;0.025))), "Confirm!", "")</f>
        <v/>
      </c>
    </row>
    <row r="62" spans="1:10">
      <c r="A62" s="54">
        <v>250</v>
      </c>
      <c r="B62" s="51">
        <v>2265391</v>
      </c>
      <c r="D62" s="128" t="s">
        <v>354</v>
      </c>
      <c r="E62" s="35">
        <v>-1794</v>
      </c>
      <c r="F62" s="35"/>
      <c r="G62" s="35">
        <v>18360608</v>
      </c>
      <c r="H62" s="125">
        <v>28</v>
      </c>
      <c r="I62" s="129"/>
      <c r="J62" s="125" t="str">
        <f>IF(AND(G62&lt;&gt;"",(OR(G62&lt;'2014legmax.xls'!AZ62, (Weightings!G62-'2014legmax.xls'!AZ62)/'2014legmax.xls'!AZ62&gt;0.025))), "Confirm!", "")</f>
        <v/>
      </c>
    </row>
    <row r="63" spans="1:10">
      <c r="A63" s="54">
        <v>251</v>
      </c>
      <c r="B63" s="51">
        <v>442086</v>
      </c>
      <c r="D63" s="128" t="s">
        <v>355</v>
      </c>
      <c r="E63" s="35">
        <v>-2205</v>
      </c>
      <c r="F63" s="35"/>
      <c r="G63" s="35"/>
      <c r="H63" s="125">
        <v>13</v>
      </c>
      <c r="I63" s="129"/>
      <c r="J63" s="125" t="str">
        <f>IF(AND(G63&lt;&gt;"",(OR(G63&lt;'2014legmax.xls'!AZ63, (Weightings!G63-'2014legmax.xls'!AZ63)/'2014legmax.xls'!AZ63&gt;0.025))), "Confirm!", "")</f>
        <v/>
      </c>
    </row>
    <row r="64" spans="1:10">
      <c r="A64" s="54">
        <v>252</v>
      </c>
      <c r="B64" s="51">
        <v>481383</v>
      </c>
      <c r="D64" s="128" t="s">
        <v>356</v>
      </c>
      <c r="E64" s="35">
        <v>-3187</v>
      </c>
      <c r="F64" s="35"/>
      <c r="G64" s="35"/>
      <c r="H64" s="125">
        <v>18</v>
      </c>
      <c r="I64" s="129"/>
      <c r="J64" s="125" t="str">
        <f>IF(AND(G64&lt;&gt;"",(OR(G64&lt;'2014legmax.xls'!AZ64, (Weightings!G64-'2014legmax.xls'!AZ64)/'2014legmax.xls'!AZ64&gt;0.025))), "Confirm!", "")</f>
        <v/>
      </c>
    </row>
    <row r="65" spans="1:10">
      <c r="A65" s="54">
        <v>253</v>
      </c>
      <c r="B65" s="51">
        <v>3107792</v>
      </c>
      <c r="D65" s="128" t="s">
        <v>357</v>
      </c>
      <c r="E65" s="35"/>
      <c r="F65" s="35"/>
      <c r="G65" s="35"/>
      <c r="H65" s="125"/>
      <c r="I65" s="129"/>
      <c r="J65" s="125" t="str">
        <f>IF(AND(G65&lt;&gt;"",(OR(G65&lt;'2014legmax.xls'!AZ65, (Weightings!G65-'2014legmax.xls'!AZ65)/'2014legmax.xls'!AZ65&gt;0.025))), "Confirm!", "")</f>
        <v/>
      </c>
    </row>
    <row r="66" spans="1:10">
      <c r="A66" s="54">
        <v>254</v>
      </c>
      <c r="B66" s="51">
        <v>586690</v>
      </c>
      <c r="D66" s="128" t="s">
        <v>358</v>
      </c>
      <c r="E66" s="35"/>
      <c r="F66" s="35"/>
      <c r="G66" s="35"/>
      <c r="H66" s="125"/>
      <c r="I66" s="129"/>
      <c r="J66" s="125" t="str">
        <f>IF(AND(G66&lt;&gt;"",(OR(G66&lt;'2014legmax.xls'!AZ66, (Weightings!G66-'2014legmax.xls'!AZ66)/'2014legmax.xls'!AZ66&gt;0.025))), "Confirm!", "")</f>
        <v/>
      </c>
    </row>
    <row r="67" spans="1:10">
      <c r="A67" s="54">
        <v>255</v>
      </c>
      <c r="B67" s="51">
        <v>254322</v>
      </c>
      <c r="D67" s="128" t="s">
        <v>359</v>
      </c>
      <c r="E67" s="35"/>
      <c r="F67" s="35"/>
      <c r="G67" s="35">
        <v>2059087</v>
      </c>
      <c r="H67" s="125"/>
      <c r="I67" s="129"/>
      <c r="J67" s="125" t="str">
        <f>IF(AND(G67&lt;&gt;"",(OR(G67&lt;'2014legmax.xls'!AZ67, (Weightings!G67-'2014legmax.xls'!AZ67)/'2014legmax.xls'!AZ67&gt;0.025))), "Confirm!", "")</f>
        <v/>
      </c>
    </row>
    <row r="68" spans="1:10">
      <c r="A68" s="54">
        <v>256</v>
      </c>
      <c r="B68" s="51">
        <v>442688</v>
      </c>
      <c r="D68" s="128" t="s">
        <v>360</v>
      </c>
      <c r="E68" s="35"/>
      <c r="F68" s="35"/>
      <c r="G68" s="35"/>
      <c r="H68" s="125"/>
      <c r="I68" s="129"/>
      <c r="J68" s="125" t="str">
        <f>IF(AND(G68&lt;&gt;"",(OR(G68&lt;'2014legmax.xls'!AZ68, (Weightings!G68-'2014legmax.xls'!AZ68)/'2014legmax.xls'!AZ68&gt;0.025))), "Confirm!", "")</f>
        <v/>
      </c>
    </row>
    <row r="69" spans="1:10">
      <c r="A69" s="54">
        <v>257</v>
      </c>
      <c r="B69" s="51">
        <v>1748337</v>
      </c>
      <c r="D69" s="128" t="s">
        <v>361</v>
      </c>
      <c r="E69" s="35">
        <v>-3286</v>
      </c>
      <c r="F69" s="35"/>
      <c r="G69" s="35"/>
      <c r="H69" s="125">
        <v>10</v>
      </c>
      <c r="I69" s="129"/>
      <c r="J69" s="125" t="str">
        <f>IF(AND(G69&lt;&gt;"",(OR(G69&lt;'2014legmax.xls'!AZ69, (Weightings!G69-'2014legmax.xls'!AZ69)/'2014legmax.xls'!AZ69&gt;0.025))), "Confirm!", "")</f>
        <v/>
      </c>
    </row>
    <row r="70" spans="1:10">
      <c r="A70" s="54">
        <v>258</v>
      </c>
      <c r="B70" s="51">
        <v>610724</v>
      </c>
      <c r="D70" s="128" t="s">
        <v>362</v>
      </c>
      <c r="E70" s="35"/>
      <c r="F70" s="35"/>
      <c r="G70" s="35">
        <v>5231578</v>
      </c>
      <c r="H70" s="125">
        <v>31</v>
      </c>
      <c r="I70" s="129"/>
      <c r="J70" s="125" t="str">
        <f>IF(AND(G70&lt;&gt;"",(OR(G70&lt;'2014legmax.xls'!AZ70, (Weightings!G70-'2014legmax.xls'!AZ70)/'2014legmax.xls'!AZ70&gt;0.025))), "Confirm!", "")</f>
        <v/>
      </c>
    </row>
    <row r="71" spans="1:10">
      <c r="A71" s="54">
        <v>259</v>
      </c>
      <c r="B71" s="51">
        <v>39142041</v>
      </c>
      <c r="D71" s="128" t="s">
        <v>363</v>
      </c>
      <c r="E71" s="35">
        <v>-5749</v>
      </c>
      <c r="F71" s="35"/>
      <c r="G71" s="35">
        <v>329428205</v>
      </c>
      <c r="H71" s="125">
        <v>10</v>
      </c>
      <c r="I71" s="129"/>
      <c r="J71" s="125" t="str">
        <f>IF(AND(G71&lt;&gt;"",(OR(G71&lt;'2014legmax.xls'!AZ71, (Weightings!G71-'2014legmax.xls'!AZ71)/'2014legmax.xls'!AZ71&gt;0.025))), "Confirm!", "")</f>
        <v/>
      </c>
    </row>
    <row r="72" spans="1:10">
      <c r="A72" s="54">
        <v>260</v>
      </c>
      <c r="B72" s="51">
        <v>5092269</v>
      </c>
      <c r="D72" s="128" t="s">
        <v>364</v>
      </c>
      <c r="E72" s="35">
        <v>-1150</v>
      </c>
      <c r="F72" s="35"/>
      <c r="G72" s="35"/>
      <c r="H72" s="125">
        <v>21</v>
      </c>
      <c r="I72" s="129"/>
      <c r="J72" s="125" t="str">
        <f>IF(AND(G72&lt;&gt;"",(OR(G72&lt;'2014legmax.xls'!AZ72, (Weightings!G72-'2014legmax.xls'!AZ72)/'2014legmax.xls'!AZ72&gt;0.025))), "Confirm!", "")</f>
        <v/>
      </c>
    </row>
    <row r="73" spans="1:10">
      <c r="A73" s="54">
        <v>261</v>
      </c>
      <c r="B73" s="51">
        <v>4441727</v>
      </c>
      <c r="D73" s="128" t="s">
        <v>365</v>
      </c>
      <c r="E73" s="35"/>
      <c r="F73" s="35"/>
      <c r="G73" s="35"/>
      <c r="H73" s="125"/>
      <c r="I73" s="129"/>
      <c r="J73" s="125" t="str">
        <f>IF(AND(G73&lt;&gt;"",(OR(G73&lt;'2014legmax.xls'!AZ73, (Weightings!G73-'2014legmax.xls'!AZ73)/'2014legmax.xls'!AZ73&gt;0.025))), "Confirm!", "")</f>
        <v/>
      </c>
    </row>
    <row r="74" spans="1:10">
      <c r="A74" s="54">
        <v>262</v>
      </c>
      <c r="B74" s="51">
        <v>2337803</v>
      </c>
      <c r="D74" s="128" t="s">
        <v>366</v>
      </c>
      <c r="E74" s="35">
        <v>-575</v>
      </c>
      <c r="F74" s="35"/>
      <c r="G74" s="35">
        <v>15728699</v>
      </c>
      <c r="H74" s="125">
        <v>23</v>
      </c>
      <c r="I74" s="129"/>
      <c r="J74" s="125" t="str">
        <f>IF(AND(G74&lt;&gt;"",(OR(G74&lt;'2014legmax.xls'!AZ74, (Weightings!G74-'2014legmax.xls'!AZ74)/'2014legmax.xls'!AZ74&gt;0.025))), "Confirm!", "")</f>
        <v/>
      </c>
    </row>
    <row r="75" spans="1:10">
      <c r="A75" s="54">
        <v>263</v>
      </c>
      <c r="B75" s="51">
        <v>1238221</v>
      </c>
      <c r="D75" s="128" t="s">
        <v>367</v>
      </c>
      <c r="E75" s="35"/>
      <c r="F75" s="35"/>
      <c r="G75" s="35"/>
      <c r="H75" s="125"/>
      <c r="I75" s="129"/>
      <c r="J75" s="125" t="str">
        <f>IF(AND(G75&lt;&gt;"",(OR(G75&lt;'2014legmax.xls'!AZ75, (Weightings!G75-'2014legmax.xls'!AZ75)/'2014legmax.xls'!AZ75&gt;0.025))), "Confirm!", "")</f>
        <v/>
      </c>
    </row>
    <row r="76" spans="1:10">
      <c r="A76" s="54">
        <v>264</v>
      </c>
      <c r="B76" s="51">
        <v>1100218</v>
      </c>
      <c r="D76" s="128" t="s">
        <v>368</v>
      </c>
      <c r="E76" s="35"/>
      <c r="F76" s="35"/>
      <c r="G76" s="35"/>
      <c r="H76" s="125"/>
      <c r="I76" s="129"/>
      <c r="J76" s="125" t="str">
        <f>IF(AND(G76&lt;&gt;"",(OR(G76&lt;'2014legmax.xls'!AZ76, (Weightings!G76-'2014legmax.xls'!AZ76)/'2014legmax.xls'!AZ76&gt;0.025))), "Confirm!", "")</f>
        <v/>
      </c>
    </row>
    <row r="77" spans="1:10">
      <c r="A77" s="54">
        <v>265</v>
      </c>
      <c r="B77" s="51">
        <v>3914158</v>
      </c>
      <c r="D77" s="128" t="s">
        <v>369</v>
      </c>
      <c r="E77" s="35"/>
      <c r="F77" s="35"/>
      <c r="G77" s="35"/>
      <c r="H77" s="125"/>
      <c r="I77" s="129"/>
      <c r="J77" s="125" t="str">
        <f>IF(AND(G77&lt;&gt;"",(OR(G77&lt;'2014legmax.xls'!AZ77, (Weightings!G77-'2014legmax.xls'!AZ77)/'2014legmax.xls'!AZ77&gt;0.025))), "Confirm!", "")</f>
        <v/>
      </c>
    </row>
    <row r="78" spans="1:10">
      <c r="A78" s="54">
        <v>266</v>
      </c>
      <c r="B78" s="51">
        <v>5269645</v>
      </c>
      <c r="D78" s="128" t="s">
        <v>370</v>
      </c>
      <c r="E78" s="35"/>
      <c r="F78" s="35"/>
      <c r="G78" s="35"/>
      <c r="H78" s="125"/>
      <c r="I78" s="129"/>
      <c r="J78" s="125" t="str">
        <f>IF(AND(G78&lt;&gt;"",(OR(G78&lt;'2014legmax.xls'!AZ78, (Weightings!G78-'2014legmax.xls'!AZ78)/'2014legmax.xls'!AZ78&gt;0.025))), "Confirm!", "")</f>
        <v/>
      </c>
    </row>
    <row r="79" spans="1:10">
      <c r="A79" s="54">
        <v>267</v>
      </c>
      <c r="B79" s="51">
        <v>1668975</v>
      </c>
      <c r="D79" s="128" t="s">
        <v>371</v>
      </c>
      <c r="E79" s="35"/>
      <c r="F79" s="35"/>
      <c r="G79" s="35"/>
      <c r="H79" s="125"/>
      <c r="I79" s="129"/>
      <c r="J79" s="125" t="str">
        <f>IF(AND(G79&lt;&gt;"",(OR(G79&lt;'2014legmax.xls'!AZ79, (Weightings!G79-'2014legmax.xls'!AZ79)/'2014legmax.xls'!AZ79&gt;0.025))), "Confirm!", "")</f>
        <v/>
      </c>
    </row>
    <row r="80" spans="1:10">
      <c r="A80" s="54">
        <v>268</v>
      </c>
      <c r="B80" s="51">
        <v>640416</v>
      </c>
      <c r="D80" s="128" t="s">
        <v>372</v>
      </c>
      <c r="E80" s="35"/>
      <c r="F80" s="35"/>
      <c r="G80" s="35"/>
      <c r="H80" s="125"/>
      <c r="I80" s="129"/>
      <c r="J80" s="125" t="str">
        <f>IF(AND(G80&lt;&gt;"",(OR(G80&lt;'2014legmax.xls'!AZ80, (Weightings!G80-'2014legmax.xls'!AZ80)/'2014legmax.xls'!AZ80&gt;0.025))), "Confirm!", "")</f>
        <v/>
      </c>
    </row>
    <row r="81" spans="1:10">
      <c r="A81" s="54">
        <v>269</v>
      </c>
      <c r="B81" s="51">
        <v>218610</v>
      </c>
      <c r="D81" s="128" t="s">
        <v>373</v>
      </c>
      <c r="E81" s="35"/>
      <c r="F81" s="35"/>
      <c r="G81" s="35">
        <v>1359803</v>
      </c>
      <c r="H81" s="125"/>
      <c r="I81" s="129"/>
      <c r="J81" s="125" t="str">
        <f>IF(AND(G81&lt;&gt;"",(OR(G81&lt;'2014legmax.xls'!AZ81, (Weightings!G81-'2014legmax.xls'!AZ81)/'2014legmax.xls'!AZ81&gt;0.025))), "Confirm!", "")</f>
        <v>Confirm!</v>
      </c>
    </row>
    <row r="82" spans="1:10">
      <c r="A82" s="54">
        <v>270</v>
      </c>
      <c r="B82" s="51">
        <v>444500</v>
      </c>
      <c r="D82" s="128" t="s">
        <v>374</v>
      </c>
      <c r="E82" s="35">
        <v>-1491</v>
      </c>
      <c r="F82" s="35"/>
      <c r="G82" s="35"/>
      <c r="H82" s="125">
        <v>10</v>
      </c>
      <c r="I82" s="129"/>
      <c r="J82" s="125" t="str">
        <f>IF(AND(G82&lt;&gt;"",(OR(G82&lt;'2014legmax.xls'!AZ82, (Weightings!G82-'2014legmax.xls'!AZ82)/'2014legmax.xls'!AZ82&gt;0.025))), "Confirm!", "")</f>
        <v/>
      </c>
    </row>
    <row r="83" spans="1:10">
      <c r="A83" s="54">
        <v>271</v>
      </c>
      <c r="B83" s="51">
        <v>372425</v>
      </c>
      <c r="D83" s="128" t="s">
        <v>375</v>
      </c>
      <c r="E83" s="35"/>
      <c r="F83" s="35"/>
      <c r="G83" s="35">
        <v>2423313</v>
      </c>
      <c r="H83" s="125"/>
      <c r="I83" s="129"/>
      <c r="J83" s="125" t="str">
        <f>IF(AND(G83&lt;&gt;"",(OR(G83&lt;'2014legmax.xls'!AZ83, (Weightings!G83-'2014legmax.xls'!AZ83)/'2014legmax.xls'!AZ83&gt;0.025))), "Confirm!", "")</f>
        <v/>
      </c>
    </row>
    <row r="84" spans="1:10">
      <c r="A84" s="54">
        <v>272</v>
      </c>
      <c r="B84" s="51">
        <v>373480</v>
      </c>
      <c r="D84" s="128" t="s">
        <v>376</v>
      </c>
      <c r="E84" s="35"/>
      <c r="F84" s="35"/>
      <c r="G84" s="35"/>
      <c r="H84" s="125"/>
      <c r="I84" s="129"/>
      <c r="J84" s="125" t="str">
        <f>IF(AND(G84&lt;&gt;"",(OR(G84&lt;'2014legmax.xls'!AZ84, (Weightings!G84-'2014legmax.xls'!AZ84)/'2014legmax.xls'!AZ84&gt;0.025))), "Confirm!", "")</f>
        <v/>
      </c>
    </row>
    <row r="85" spans="1:10">
      <c r="A85" s="54">
        <v>273</v>
      </c>
      <c r="B85" s="52">
        <f>764106+60713</f>
        <v>824819</v>
      </c>
      <c r="D85" s="128" t="s">
        <v>377</v>
      </c>
      <c r="E85" s="35"/>
      <c r="F85" s="35"/>
      <c r="G85" s="35"/>
      <c r="H85" s="125"/>
      <c r="I85" s="129"/>
      <c r="J85" s="125" t="str">
        <f>IF(AND(G85&lt;&gt;"",(OR(G85&lt;'2014legmax.xls'!AZ85, (Weightings!G85-'2014legmax.xls'!AZ85)/'2014legmax.xls'!AZ85&gt;0.025))), "Confirm!", "")</f>
        <v/>
      </c>
    </row>
    <row r="86" spans="1:10">
      <c r="A86" s="54">
        <v>274</v>
      </c>
      <c r="B86" s="51">
        <v>508174</v>
      </c>
      <c r="D86" s="128" t="s">
        <v>378</v>
      </c>
      <c r="E86" s="35"/>
      <c r="F86" s="35"/>
      <c r="G86" s="35"/>
      <c r="H86" s="125"/>
      <c r="I86" s="129"/>
      <c r="J86" s="125" t="str">
        <f>IF(AND(G86&lt;&gt;"",(OR(G86&lt;'2014legmax.xls'!AZ86, (Weightings!G86-'2014legmax.xls'!AZ86)/'2014legmax.xls'!AZ86&gt;0.025))), "Confirm!", "")</f>
        <v/>
      </c>
    </row>
    <row r="87" spans="1:10">
      <c r="A87" s="54">
        <v>275</v>
      </c>
      <c r="B87" s="51">
        <v>121926</v>
      </c>
      <c r="D87" s="128" t="s">
        <v>379</v>
      </c>
      <c r="E87" s="35"/>
      <c r="F87" s="35"/>
      <c r="G87" s="35"/>
      <c r="H87" s="125"/>
      <c r="I87" s="129"/>
      <c r="J87" s="125" t="str">
        <f>IF(AND(G87&lt;&gt;"",(OR(G87&lt;'2014legmax.xls'!AZ87, (Weightings!G87-'2014legmax.xls'!AZ87)/'2014legmax.xls'!AZ87&gt;0.025))), "Confirm!", "")</f>
        <v/>
      </c>
    </row>
    <row r="88" spans="1:10">
      <c r="A88" s="54">
        <v>281</v>
      </c>
      <c r="B88" s="51">
        <v>452779</v>
      </c>
      <c r="D88" s="128" t="s">
        <v>380</v>
      </c>
      <c r="E88" s="35"/>
      <c r="F88" s="35"/>
      <c r="G88" s="35"/>
      <c r="H88" s="125"/>
      <c r="I88" s="129"/>
      <c r="J88" s="125" t="str">
        <f>IF(AND(G88&lt;&gt;"",(OR(G88&lt;'2014legmax.xls'!AZ88, (Weightings!G88-'2014legmax.xls'!AZ88)/'2014legmax.xls'!AZ88&gt;0.025))), "Confirm!", "")</f>
        <v/>
      </c>
    </row>
    <row r="89" spans="1:10">
      <c r="A89" s="54">
        <v>282</v>
      </c>
      <c r="B89" s="51">
        <v>544334</v>
      </c>
      <c r="D89" s="128" t="s">
        <v>381</v>
      </c>
      <c r="E89" s="35"/>
      <c r="F89" s="35"/>
      <c r="G89" s="35">
        <v>3047756</v>
      </c>
      <c r="H89" s="125">
        <v>16</v>
      </c>
      <c r="I89" s="129"/>
      <c r="J89" s="125" t="str">
        <f>IF(AND(G89&lt;&gt;"",(OR(G89&lt;'2014legmax.xls'!AZ89, (Weightings!G89-'2014legmax.xls'!AZ89)/'2014legmax.xls'!AZ89&gt;0.025))), "Confirm!", "")</f>
        <v/>
      </c>
    </row>
    <row r="90" spans="1:10">
      <c r="A90" s="54">
        <v>283</v>
      </c>
      <c r="B90" s="51">
        <v>299912</v>
      </c>
      <c r="D90" s="128" t="s">
        <v>382</v>
      </c>
      <c r="E90" s="35"/>
      <c r="F90" s="35"/>
      <c r="G90" s="35"/>
      <c r="H90" s="125"/>
      <c r="I90" s="129"/>
      <c r="J90" s="125" t="str">
        <f>IF(AND(G90&lt;&gt;"",(OR(G90&lt;'2014legmax.xls'!AZ90, (Weightings!G90-'2014legmax.xls'!AZ90)/'2014legmax.xls'!AZ90&gt;0.025))), "Confirm!", "")</f>
        <v/>
      </c>
    </row>
    <row r="91" spans="1:10">
      <c r="A91" s="54">
        <v>284</v>
      </c>
      <c r="B91" s="51">
        <v>443057</v>
      </c>
      <c r="D91" s="128" t="s">
        <v>383</v>
      </c>
      <c r="E91" s="35"/>
      <c r="F91" s="35"/>
      <c r="G91" s="35">
        <v>2929545</v>
      </c>
      <c r="H91" s="125">
        <v>25</v>
      </c>
      <c r="I91" s="129"/>
      <c r="J91" s="125" t="str">
        <f>IF(AND(G91&lt;&gt;"",(OR(G91&lt;'2014legmax.xls'!AZ91, (Weightings!G91-'2014legmax.xls'!AZ91)/'2014legmax.xls'!AZ91&gt;0.025))), "Confirm!", "")</f>
        <v/>
      </c>
    </row>
    <row r="92" spans="1:10">
      <c r="A92" s="54">
        <v>285</v>
      </c>
      <c r="B92" s="51">
        <v>122186</v>
      </c>
      <c r="D92" s="128" t="s">
        <v>384</v>
      </c>
      <c r="E92" s="35"/>
      <c r="F92" s="35"/>
      <c r="G92" s="35"/>
      <c r="H92" s="125"/>
      <c r="I92" s="129"/>
      <c r="J92" s="125" t="str">
        <f>IF(AND(G92&lt;&gt;"",(OR(G92&lt;'2014legmax.xls'!AZ92, (Weightings!G92-'2014legmax.xls'!AZ92)/'2014legmax.xls'!AZ92&gt;0.025))), "Confirm!", "")</f>
        <v/>
      </c>
    </row>
    <row r="93" spans="1:10">
      <c r="A93" s="54">
        <v>286</v>
      </c>
      <c r="B93" s="51">
        <v>503240</v>
      </c>
      <c r="D93" s="128" t="s">
        <v>385</v>
      </c>
      <c r="E93" s="35"/>
      <c r="F93" s="35"/>
      <c r="G93" s="35">
        <v>3063108</v>
      </c>
      <c r="H93" s="125">
        <v>23</v>
      </c>
      <c r="I93" s="129"/>
      <c r="J93" s="125" t="str">
        <f>IF(AND(G93&lt;&gt;"",(OR(G93&lt;'2014legmax.xls'!AZ93, (Weightings!G93-'2014legmax.xls'!AZ93)/'2014legmax.xls'!AZ93&gt;0.025))), "Confirm!", "")</f>
        <v>Confirm!</v>
      </c>
    </row>
    <row r="94" spans="1:10">
      <c r="A94" s="54">
        <v>287</v>
      </c>
      <c r="B94" s="51">
        <v>928124</v>
      </c>
      <c r="D94" s="128" t="s">
        <v>386</v>
      </c>
      <c r="E94" s="35"/>
      <c r="F94" s="35"/>
      <c r="G94" s="35"/>
      <c r="H94" s="125"/>
      <c r="I94" s="129"/>
      <c r="J94" s="125" t="str">
        <f>IF(AND(G94&lt;&gt;"",(OR(G94&lt;'2014legmax.xls'!AZ94, (Weightings!G94-'2014legmax.xls'!AZ94)/'2014legmax.xls'!AZ94&gt;0.025))), "Confirm!", "")</f>
        <v/>
      </c>
    </row>
    <row r="95" spans="1:10">
      <c r="A95" s="54">
        <v>288</v>
      </c>
      <c r="B95" s="51">
        <v>479646</v>
      </c>
      <c r="D95" s="128" t="s">
        <v>387</v>
      </c>
      <c r="E95" s="35"/>
      <c r="F95" s="35"/>
      <c r="G95" s="35">
        <v>4584875</v>
      </c>
      <c r="H95" s="125">
        <v>23</v>
      </c>
      <c r="I95" s="129"/>
      <c r="J95" s="125" t="str">
        <f>IF(AND(G95&lt;&gt;"",(OR(G95&lt;'2014legmax.xls'!AZ95, (Weightings!G95-'2014legmax.xls'!AZ95)/'2014legmax.xls'!AZ95&gt;0.025))), "Confirm!", "")</f>
        <v/>
      </c>
    </row>
    <row r="96" spans="1:10">
      <c r="A96" s="54">
        <v>289</v>
      </c>
      <c r="B96" s="51">
        <v>787622</v>
      </c>
      <c r="D96" s="128" t="s">
        <v>388</v>
      </c>
      <c r="E96" s="35"/>
      <c r="F96" s="35"/>
      <c r="G96" s="35"/>
      <c r="H96" s="125"/>
      <c r="I96" s="129"/>
      <c r="J96" s="125" t="str">
        <f>IF(AND(G96&lt;&gt;"",(OR(G96&lt;'2014legmax.xls'!AZ96, (Weightings!G96-'2014legmax.xls'!AZ96)/'2014legmax.xls'!AZ96&gt;0.025))), "Confirm!", "")</f>
        <v/>
      </c>
    </row>
    <row r="97" spans="1:10">
      <c r="A97" s="54">
        <v>290</v>
      </c>
      <c r="B97" s="51">
        <v>1820815</v>
      </c>
      <c r="D97" s="128" t="s">
        <v>389</v>
      </c>
      <c r="E97" s="35"/>
      <c r="F97" s="35"/>
      <c r="G97" s="35"/>
      <c r="H97" s="125"/>
      <c r="I97" s="129"/>
      <c r="J97" s="125" t="str">
        <f>IF(AND(G97&lt;&gt;"",(OR(G97&lt;'2014legmax.xls'!AZ97, (Weightings!G97-'2014legmax.xls'!AZ97)/'2014legmax.xls'!AZ97&gt;0.025))), "Confirm!", "")</f>
        <v/>
      </c>
    </row>
    <row r="98" spans="1:10">
      <c r="A98" s="54">
        <v>291</v>
      </c>
      <c r="B98" s="51">
        <v>85263</v>
      </c>
      <c r="D98" s="128" t="s">
        <v>390</v>
      </c>
      <c r="E98" s="35"/>
      <c r="F98" s="35"/>
      <c r="G98" s="35">
        <v>929947</v>
      </c>
      <c r="H98" s="125">
        <v>23</v>
      </c>
      <c r="I98" s="129"/>
      <c r="J98" s="125" t="str">
        <f>IF(AND(G98&lt;&gt;"",(OR(G98&lt;'2014legmax.xls'!AZ98, (Weightings!G98-'2014legmax.xls'!AZ98)/'2014legmax.xls'!AZ98&gt;0.025))), "Confirm!", "")</f>
        <v/>
      </c>
    </row>
    <row r="99" spans="1:10">
      <c r="A99" s="54">
        <v>292</v>
      </c>
      <c r="B99" s="51">
        <v>197465</v>
      </c>
      <c r="D99" s="128" t="s">
        <v>391</v>
      </c>
      <c r="E99" s="35"/>
      <c r="F99" s="35"/>
      <c r="G99" s="35"/>
      <c r="H99" s="125"/>
      <c r="I99" s="129"/>
      <c r="J99" s="125" t="str">
        <f>IF(AND(G99&lt;&gt;"",(OR(G99&lt;'2014legmax.xls'!AZ99, (Weightings!G99-'2014legmax.xls'!AZ99)/'2014legmax.xls'!AZ99&gt;0.025))), "Confirm!", "")</f>
        <v/>
      </c>
    </row>
    <row r="100" spans="1:10">
      <c r="A100" s="54">
        <v>293</v>
      </c>
      <c r="B100" s="51">
        <v>368645</v>
      </c>
      <c r="D100" s="128" t="s">
        <v>392</v>
      </c>
      <c r="E100" s="35"/>
      <c r="F100" s="35"/>
      <c r="G100" s="35"/>
      <c r="H100" s="125"/>
      <c r="I100" s="129"/>
      <c r="J100" s="125" t="str">
        <f>IF(AND(G100&lt;&gt;"",(OR(G100&lt;'2014legmax.xls'!AZ100, (Weightings!G100-'2014legmax.xls'!AZ100)/'2014legmax.xls'!AZ100&gt;0.025))), "Confirm!", "")</f>
        <v/>
      </c>
    </row>
    <row r="101" spans="1:10">
      <c r="A101" s="54">
        <v>294</v>
      </c>
      <c r="B101" s="51">
        <v>336024</v>
      </c>
      <c r="D101" s="128" t="s">
        <v>393</v>
      </c>
      <c r="E101" s="35"/>
      <c r="F101" s="35"/>
      <c r="G101" s="35"/>
      <c r="H101" s="125"/>
      <c r="I101" s="129"/>
      <c r="J101" s="125" t="str">
        <f>IF(AND(G101&lt;&gt;"",(OR(G101&lt;'2014legmax.xls'!AZ101, (Weightings!G101-'2014legmax.xls'!AZ101)/'2014legmax.xls'!AZ101&gt;0.025))), "Confirm!", "")</f>
        <v/>
      </c>
    </row>
    <row r="102" spans="1:10">
      <c r="A102" s="54">
        <v>297</v>
      </c>
      <c r="B102" s="51">
        <v>211022</v>
      </c>
      <c r="D102" s="128" t="s">
        <v>394</v>
      </c>
      <c r="E102" s="35"/>
      <c r="F102" s="35"/>
      <c r="G102" s="35"/>
      <c r="H102" s="125"/>
      <c r="I102" s="129"/>
      <c r="J102" s="125" t="str">
        <f>IF(AND(G102&lt;&gt;"",(OR(G102&lt;'2014legmax.xls'!AZ102, (Weightings!G102-'2014legmax.xls'!AZ102)/'2014legmax.xls'!AZ102&gt;0.025))), "Confirm!", "")</f>
        <v/>
      </c>
    </row>
    <row r="103" spans="1:10">
      <c r="A103" s="54">
        <v>298</v>
      </c>
      <c r="B103" s="51">
        <v>375477</v>
      </c>
      <c r="D103" s="128" t="s">
        <v>395</v>
      </c>
      <c r="E103" s="35"/>
      <c r="F103" s="35"/>
      <c r="G103" s="35"/>
      <c r="H103" s="125"/>
      <c r="I103" s="129"/>
      <c r="J103" s="125" t="str">
        <f>IF(AND(G103&lt;&gt;"",(OR(G103&lt;'2014legmax.xls'!AZ103, (Weightings!G103-'2014legmax.xls'!AZ103)/'2014legmax.xls'!AZ103&gt;0.025))), "Confirm!", "")</f>
        <v/>
      </c>
    </row>
    <row r="104" spans="1:10">
      <c r="A104" s="54">
        <v>299</v>
      </c>
      <c r="B104" s="51">
        <v>152613</v>
      </c>
      <c r="D104" s="128" t="s">
        <v>396</v>
      </c>
      <c r="E104" s="35">
        <v>-1207</v>
      </c>
      <c r="F104" s="35"/>
      <c r="G104" s="35"/>
      <c r="H104" s="125"/>
      <c r="I104" s="129"/>
      <c r="J104" s="125" t="str">
        <f>IF(AND(G104&lt;&gt;"",(OR(G104&lt;'2014legmax.xls'!AZ104, (Weightings!G104-'2014legmax.xls'!AZ104)/'2014legmax.xls'!AZ104&gt;0.025))), "Confirm!", "")</f>
        <v/>
      </c>
    </row>
    <row r="105" spans="1:10">
      <c r="A105" s="54">
        <v>300</v>
      </c>
      <c r="B105" s="51">
        <v>356029</v>
      </c>
      <c r="D105" s="128" t="s">
        <v>397</v>
      </c>
      <c r="E105" s="35"/>
      <c r="F105" s="35"/>
      <c r="G105" s="35"/>
      <c r="H105" s="125"/>
      <c r="I105" s="129"/>
      <c r="J105" s="125" t="str">
        <f>IF(AND(G105&lt;&gt;"",(OR(G105&lt;'2014legmax.xls'!AZ105, (Weightings!G105-'2014legmax.xls'!AZ105)/'2014legmax.xls'!AZ105&gt;0.025))), "Confirm!", "")</f>
        <v/>
      </c>
    </row>
    <row r="106" spans="1:10">
      <c r="A106" s="54">
        <v>303</v>
      </c>
      <c r="B106" s="51">
        <v>229741</v>
      </c>
      <c r="D106" s="128" t="s">
        <v>398</v>
      </c>
      <c r="E106" s="35"/>
      <c r="F106" s="35"/>
      <c r="G106" s="35"/>
      <c r="H106" s="125"/>
      <c r="I106" s="129"/>
      <c r="J106" s="125" t="str">
        <f>IF(AND(G106&lt;&gt;"",(OR(G106&lt;'2014legmax.xls'!AZ106, (Weightings!G106-'2014legmax.xls'!AZ106)/'2014legmax.xls'!AZ106&gt;0.025))), "Confirm!", "")</f>
        <v/>
      </c>
    </row>
    <row r="107" spans="1:10">
      <c r="A107" s="54">
        <v>305</v>
      </c>
      <c r="B107" s="51">
        <v>6968955</v>
      </c>
      <c r="D107" s="128" t="s">
        <v>399</v>
      </c>
      <c r="E107" s="35"/>
      <c r="F107" s="35"/>
      <c r="G107" s="35">
        <v>43970815</v>
      </c>
      <c r="H107" s="125">
        <v>23</v>
      </c>
      <c r="I107" s="129"/>
      <c r="J107" s="125" t="str">
        <f>IF(AND(G107&lt;&gt;"",(OR(G107&lt;'2014legmax.xls'!AZ107, (Weightings!G107-'2014legmax.xls'!AZ107)/'2014legmax.xls'!AZ107&gt;0.025))), "Confirm!", "")</f>
        <v/>
      </c>
    </row>
    <row r="108" spans="1:10">
      <c r="A108" s="54">
        <v>306</v>
      </c>
      <c r="B108" s="51">
        <v>603783</v>
      </c>
      <c r="D108" s="128" t="s">
        <v>400</v>
      </c>
      <c r="E108" s="35"/>
      <c r="F108" s="35"/>
      <c r="G108" s="35">
        <v>5088420</v>
      </c>
      <c r="H108" s="125"/>
      <c r="I108" s="129"/>
      <c r="J108" s="125" t="str">
        <f>IF(AND(G108&lt;&gt;"",(OR(G108&lt;'2014legmax.xls'!AZ108, (Weightings!G108-'2014legmax.xls'!AZ108)/'2014legmax.xls'!AZ108&gt;0.025))), "Confirm!", "")</f>
        <v/>
      </c>
    </row>
    <row r="109" spans="1:10">
      <c r="A109" s="54">
        <v>307</v>
      </c>
      <c r="B109" s="51">
        <v>410156</v>
      </c>
      <c r="D109" s="128" t="s">
        <v>401</v>
      </c>
      <c r="E109" s="35"/>
      <c r="F109" s="35"/>
      <c r="G109" s="35">
        <v>3700216</v>
      </c>
      <c r="H109" s="125">
        <v>16</v>
      </c>
      <c r="I109" s="129"/>
      <c r="J109" s="125" t="str">
        <f>IF(AND(G109&lt;&gt;"",(OR(G109&lt;'2014legmax.xls'!AZ109, (Weightings!G109-'2014legmax.xls'!AZ109)/'2014legmax.xls'!AZ109&gt;0.025))), "Confirm!", "")</f>
        <v/>
      </c>
    </row>
    <row r="110" spans="1:10">
      <c r="A110" s="54">
        <v>308</v>
      </c>
      <c r="B110" s="51">
        <v>3778404</v>
      </c>
      <c r="D110" s="128" t="s">
        <v>402</v>
      </c>
      <c r="E110" s="35"/>
      <c r="F110" s="35"/>
      <c r="G110" s="35"/>
      <c r="H110" s="125"/>
      <c r="I110" s="129"/>
      <c r="J110" s="125" t="str">
        <f>IF(AND(G110&lt;&gt;"",(OR(G110&lt;'2014legmax.xls'!AZ110, (Weightings!G110-'2014legmax.xls'!AZ110)/'2014legmax.xls'!AZ110&gt;0.025))), "Confirm!", "")</f>
        <v/>
      </c>
    </row>
    <row r="111" spans="1:10">
      <c r="A111" s="54">
        <v>309</v>
      </c>
      <c r="B111" s="51">
        <v>1185157</v>
      </c>
      <c r="D111" s="128" t="s">
        <v>403</v>
      </c>
      <c r="E111" s="35"/>
      <c r="F111" s="35"/>
      <c r="G111" s="35"/>
      <c r="H111" s="125"/>
      <c r="I111" s="129"/>
      <c r="J111" s="125" t="str">
        <f>IF(AND(G111&lt;&gt;"",(OR(G111&lt;'2014legmax.xls'!AZ111, (Weightings!G111-'2014legmax.xls'!AZ111)/'2014legmax.xls'!AZ111&gt;0.025))), "Confirm!", "")</f>
        <v/>
      </c>
    </row>
    <row r="112" spans="1:10">
      <c r="A112" s="54">
        <v>310</v>
      </c>
      <c r="B112" s="51">
        <v>385012</v>
      </c>
      <c r="D112" s="128" t="s">
        <v>404</v>
      </c>
      <c r="E112" s="35"/>
      <c r="F112" s="35"/>
      <c r="G112" s="35"/>
      <c r="H112" s="125"/>
      <c r="I112" s="129"/>
      <c r="J112" s="125" t="str">
        <f>IF(AND(G112&lt;&gt;"",(OR(G112&lt;'2014legmax.xls'!AZ112, (Weightings!G112-'2014legmax.xls'!AZ112)/'2014legmax.xls'!AZ112&gt;0.025))), "Confirm!", "")</f>
        <v/>
      </c>
    </row>
    <row r="113" spans="1:10">
      <c r="A113" s="54">
        <v>311</v>
      </c>
      <c r="B113" s="51">
        <v>255358</v>
      </c>
      <c r="D113" s="128" t="s">
        <v>405</v>
      </c>
      <c r="E113" s="35"/>
      <c r="F113" s="35"/>
      <c r="G113" s="35"/>
      <c r="H113" s="125"/>
      <c r="I113" s="129"/>
      <c r="J113" s="125" t="str">
        <f>IF(AND(G113&lt;&gt;"",(OR(G113&lt;'2014legmax.xls'!AZ113, (Weightings!G113-'2014legmax.xls'!AZ113)/'2014legmax.xls'!AZ113&gt;0.025))), "Confirm!", "")</f>
        <v/>
      </c>
    </row>
    <row r="114" spans="1:10">
      <c r="A114" s="54">
        <v>312</v>
      </c>
      <c r="B114" s="51">
        <v>984291</v>
      </c>
      <c r="D114" s="128" t="s">
        <v>406</v>
      </c>
      <c r="E114" s="35"/>
      <c r="F114" s="35"/>
      <c r="G114" s="35">
        <v>6864004</v>
      </c>
      <c r="H114" s="125"/>
      <c r="I114" s="129"/>
      <c r="J114" s="125" t="str">
        <f>IF(AND(G114&lt;&gt;"",(OR(G114&lt;'2014legmax.xls'!AZ114, (Weightings!G114-'2014legmax.xls'!AZ114)/'2014legmax.xls'!AZ114&gt;0.025))), "Confirm!", "")</f>
        <v>Confirm!</v>
      </c>
    </row>
    <row r="115" spans="1:10">
      <c r="A115" s="54">
        <v>313</v>
      </c>
      <c r="B115" s="51">
        <v>2427444</v>
      </c>
      <c r="D115" s="128" t="s">
        <v>407</v>
      </c>
      <c r="E115" s="35">
        <v>-629</v>
      </c>
      <c r="F115" s="35"/>
      <c r="G115" s="35"/>
      <c r="H115" s="125">
        <v>10</v>
      </c>
      <c r="I115" s="129"/>
      <c r="J115" s="125" t="str">
        <f>IF(AND(G115&lt;&gt;"",(OR(G115&lt;'2014legmax.xls'!AZ115, (Weightings!G115-'2014legmax.xls'!AZ115)/'2014legmax.xls'!AZ115&gt;0.025))), "Confirm!", "")</f>
        <v/>
      </c>
    </row>
    <row r="116" spans="1:10">
      <c r="A116" s="54">
        <v>314</v>
      </c>
      <c r="B116" s="51">
        <v>117129</v>
      </c>
      <c r="D116" s="128" t="s">
        <v>408</v>
      </c>
      <c r="E116" s="35"/>
      <c r="F116" s="35"/>
      <c r="G116" s="35">
        <v>1034285</v>
      </c>
      <c r="H116" s="125"/>
      <c r="I116" s="129"/>
      <c r="J116" s="125" t="str">
        <f>IF(AND(G116&lt;&gt;"",(OR(G116&lt;'2014legmax.xls'!AZ116, (Weightings!G116-'2014legmax.xls'!AZ116)/'2014legmax.xls'!AZ116&gt;0.025))), "Confirm!", "")</f>
        <v>Confirm!</v>
      </c>
    </row>
    <row r="117" spans="1:10">
      <c r="A117" s="54">
        <v>315</v>
      </c>
      <c r="B117" s="51">
        <v>1046262</v>
      </c>
      <c r="D117" s="128" t="s">
        <v>409</v>
      </c>
      <c r="E117" s="35"/>
      <c r="F117" s="35"/>
      <c r="G117" s="35"/>
      <c r="H117" s="125"/>
      <c r="I117" s="129"/>
      <c r="J117" s="125" t="str">
        <f>IF(AND(G117&lt;&gt;"",(OR(G117&lt;'2014legmax.xls'!AZ117, (Weightings!G117-'2014legmax.xls'!AZ117)/'2014legmax.xls'!AZ117&gt;0.025))), "Confirm!", "")</f>
        <v/>
      </c>
    </row>
    <row r="118" spans="1:10">
      <c r="A118" s="54">
        <v>316</v>
      </c>
      <c r="B118" s="51">
        <v>341861</v>
      </c>
      <c r="D118" s="128" t="s">
        <v>410</v>
      </c>
      <c r="E118" s="35"/>
      <c r="F118" s="35"/>
      <c r="G118" s="35"/>
      <c r="H118" s="125"/>
      <c r="I118" s="129"/>
      <c r="J118" s="125" t="str">
        <f>IF(AND(G118&lt;&gt;"",(OR(G118&lt;'2014legmax.xls'!AZ118, (Weightings!G118-'2014legmax.xls'!AZ118)/'2014legmax.xls'!AZ118&gt;0.025))), "Confirm!", "")</f>
        <v/>
      </c>
    </row>
    <row r="119" spans="1:10">
      <c r="A119" s="54">
        <v>320</v>
      </c>
      <c r="B119" s="51">
        <v>1364892</v>
      </c>
      <c r="D119" s="128" t="s">
        <v>411</v>
      </c>
      <c r="E119" s="35"/>
      <c r="F119" s="35"/>
      <c r="G119" s="35"/>
      <c r="H119" s="125"/>
      <c r="I119" s="129"/>
      <c r="J119" s="125" t="str">
        <f>IF(AND(G119&lt;&gt;"",(OR(G119&lt;'2014legmax.xls'!AZ119, (Weightings!G119-'2014legmax.xls'!AZ119)/'2014legmax.xls'!AZ119&gt;0.025))), "Confirm!", "")</f>
        <v/>
      </c>
    </row>
    <row r="120" spans="1:10">
      <c r="A120" s="54">
        <v>321</v>
      </c>
      <c r="B120" s="51">
        <v>1389894</v>
      </c>
      <c r="D120" s="128" t="s">
        <v>412</v>
      </c>
      <c r="E120" s="35"/>
      <c r="F120" s="35"/>
      <c r="G120" s="35">
        <v>7768112</v>
      </c>
      <c r="H120" s="125">
        <v>27</v>
      </c>
      <c r="I120" s="129"/>
      <c r="J120" s="125" t="str">
        <f>IF(AND(G120&lt;&gt;"",(OR(G120&lt;'2014legmax.xls'!AZ120, (Weightings!G120-'2014legmax.xls'!AZ120)/'2014legmax.xls'!AZ120&gt;0.025))), "Confirm!", "")</f>
        <v/>
      </c>
    </row>
    <row r="121" spans="1:10">
      <c r="A121" s="54">
        <v>322</v>
      </c>
      <c r="B121" s="51">
        <v>278544</v>
      </c>
      <c r="D121" s="128" t="s">
        <v>413</v>
      </c>
      <c r="E121" s="35"/>
      <c r="F121" s="35"/>
      <c r="G121" s="35"/>
      <c r="H121" s="125"/>
      <c r="I121" s="129"/>
      <c r="J121" s="125" t="str">
        <f>IF(AND(G121&lt;&gt;"",(OR(G121&lt;'2014legmax.xls'!AZ121, (Weightings!G121-'2014legmax.xls'!AZ121)/'2014legmax.xls'!AZ121&gt;0.025))), "Confirm!", "")</f>
        <v/>
      </c>
    </row>
    <row r="122" spans="1:10">
      <c r="A122" s="54">
        <v>323</v>
      </c>
      <c r="B122" s="51">
        <v>889996</v>
      </c>
      <c r="D122" s="128" t="s">
        <v>414</v>
      </c>
      <c r="E122" s="35"/>
      <c r="F122" s="35"/>
      <c r="G122" s="35"/>
      <c r="H122" s="125"/>
      <c r="I122" s="129"/>
      <c r="J122" s="125" t="str">
        <f>IF(AND(G122&lt;&gt;"",(OR(G122&lt;'2014legmax.xls'!AZ122, (Weightings!G122-'2014legmax.xls'!AZ122)/'2014legmax.xls'!AZ122&gt;0.025))), "Confirm!", "")</f>
        <v/>
      </c>
    </row>
    <row r="123" spans="1:10">
      <c r="A123" s="54">
        <v>325</v>
      </c>
      <c r="B123" s="51">
        <v>757039</v>
      </c>
      <c r="D123" s="128" t="s">
        <v>415</v>
      </c>
      <c r="E123" s="35">
        <v>-2606</v>
      </c>
      <c r="F123" s="35"/>
      <c r="G123" s="35">
        <v>4504661</v>
      </c>
      <c r="H123" s="125"/>
      <c r="I123" s="129"/>
      <c r="J123" s="125" t="str">
        <f>IF(AND(G123&lt;&gt;"",(OR(G123&lt;'2014legmax.xls'!AZ123, (Weightings!G123-'2014legmax.xls'!AZ123)/'2014legmax.xls'!AZ123&gt;0.025))), "Confirm!", "")</f>
        <v/>
      </c>
    </row>
    <row r="124" spans="1:10">
      <c r="A124" s="54">
        <v>326</v>
      </c>
      <c r="B124" s="51">
        <v>216525</v>
      </c>
      <c r="D124" s="128" t="s">
        <v>416</v>
      </c>
      <c r="E124" s="35"/>
      <c r="F124" s="35"/>
      <c r="G124" s="35">
        <v>1783902</v>
      </c>
      <c r="H124" s="125">
        <v>27</v>
      </c>
      <c r="I124" s="129"/>
      <c r="J124" s="125" t="str">
        <f>IF(AND(G124&lt;&gt;"",(OR(G124&lt;'2014legmax.xls'!AZ124, (Weightings!G124-'2014legmax.xls'!AZ124)/'2014legmax.xls'!AZ124&gt;0.025))), "Confirm!", "")</f>
        <v/>
      </c>
    </row>
    <row r="125" spans="1:10">
      <c r="A125" s="54">
        <v>327</v>
      </c>
      <c r="B125" s="51">
        <v>519523</v>
      </c>
      <c r="D125" s="128" t="s">
        <v>417</v>
      </c>
      <c r="E125" s="35"/>
      <c r="F125" s="35"/>
      <c r="G125" s="35">
        <v>4314680</v>
      </c>
      <c r="H125" s="125">
        <v>25</v>
      </c>
      <c r="I125" s="129"/>
      <c r="J125" s="125" t="str">
        <f>IF(AND(G125&lt;&gt;"",(OR(G125&lt;'2014legmax.xls'!AZ125, (Weightings!G125-'2014legmax.xls'!AZ125)/'2014legmax.xls'!AZ125&gt;0.025))), "Confirm!", "")</f>
        <v/>
      </c>
    </row>
    <row r="126" spans="1:10">
      <c r="A126" s="54">
        <v>329</v>
      </c>
      <c r="B126" s="51">
        <v>536962</v>
      </c>
      <c r="D126" s="128" t="s">
        <v>418</v>
      </c>
      <c r="E126" s="35"/>
      <c r="F126" s="35"/>
      <c r="G126" s="35">
        <v>3778233</v>
      </c>
      <c r="H126" s="125"/>
      <c r="I126" s="129"/>
      <c r="J126" s="125" t="str">
        <f>IF(AND(G126&lt;&gt;"",(OR(G126&lt;'2014legmax.xls'!AZ126, (Weightings!G126-'2014legmax.xls'!AZ126)/'2014legmax.xls'!AZ126&gt;0.025))), "Confirm!", "")</f>
        <v/>
      </c>
    </row>
    <row r="127" spans="1:10">
      <c r="A127" s="54">
        <v>330</v>
      </c>
      <c r="B127" s="51">
        <v>659639</v>
      </c>
      <c r="D127" s="128" t="s">
        <v>419</v>
      </c>
      <c r="E127" s="35"/>
      <c r="F127" s="35"/>
      <c r="G127" s="35">
        <v>4074037</v>
      </c>
      <c r="H127" s="125">
        <v>16</v>
      </c>
      <c r="I127" s="129"/>
      <c r="J127" s="125" t="str">
        <f>IF(AND(G127&lt;&gt;"",(OR(G127&lt;'2014legmax.xls'!AZ127, (Weightings!G127-'2014legmax.xls'!AZ127)/'2014legmax.xls'!AZ127&gt;0.025))), "Confirm!", "")</f>
        <v/>
      </c>
    </row>
    <row r="128" spans="1:10">
      <c r="A128" s="54">
        <v>331</v>
      </c>
      <c r="B128" s="51">
        <v>1192582</v>
      </c>
      <c r="D128" s="128" t="s">
        <v>420</v>
      </c>
      <c r="E128" s="35"/>
      <c r="F128" s="35"/>
      <c r="G128" s="35"/>
      <c r="H128" s="125"/>
      <c r="I128" s="129"/>
      <c r="J128" s="125" t="str">
        <f>IF(AND(G128&lt;&gt;"",(OR(G128&lt;'2014legmax.xls'!AZ128, (Weightings!G128-'2014legmax.xls'!AZ128)/'2014legmax.xls'!AZ128&gt;0.025))), "Confirm!", "")</f>
        <v/>
      </c>
    </row>
    <row r="129" spans="1:10">
      <c r="A129" s="54">
        <v>332</v>
      </c>
      <c r="B129" s="51">
        <v>242816</v>
      </c>
      <c r="D129" s="128" t="s">
        <v>421</v>
      </c>
      <c r="E129" s="35"/>
      <c r="F129" s="35"/>
      <c r="G129" s="35"/>
      <c r="H129" s="125"/>
      <c r="I129" s="129"/>
      <c r="J129" s="125" t="str">
        <f>IF(AND(G129&lt;&gt;"",(OR(G129&lt;'2014legmax.xls'!AZ129, (Weightings!G129-'2014legmax.xls'!AZ129)/'2014legmax.xls'!AZ129&gt;0.025))), "Confirm!", "")</f>
        <v/>
      </c>
    </row>
    <row r="130" spans="1:10">
      <c r="A130" s="54">
        <v>333</v>
      </c>
      <c r="B130" s="51">
        <v>1174790</v>
      </c>
      <c r="D130" s="128" t="s">
        <v>422</v>
      </c>
      <c r="E130" s="35">
        <v>-2222</v>
      </c>
      <c r="F130" s="35"/>
      <c r="G130" s="35"/>
      <c r="H130" s="125">
        <v>24</v>
      </c>
      <c r="I130" s="129"/>
      <c r="J130" s="125" t="str">
        <f>IF(AND(G130&lt;&gt;"",(OR(G130&lt;'2014legmax.xls'!AZ130, (Weightings!G130-'2014legmax.xls'!AZ130)/'2014legmax.xls'!AZ130&gt;0.025))), "Confirm!", "")</f>
        <v/>
      </c>
    </row>
    <row r="131" spans="1:10">
      <c r="A131" s="54">
        <v>334</v>
      </c>
      <c r="B131" s="51">
        <v>322301</v>
      </c>
      <c r="D131" s="128" t="s">
        <v>423</v>
      </c>
      <c r="E131" s="35"/>
      <c r="F131" s="35"/>
      <c r="G131" s="35">
        <v>2225000</v>
      </c>
      <c r="H131" s="125">
        <v>31</v>
      </c>
      <c r="I131" s="129"/>
      <c r="J131" s="125" t="str">
        <f>IF(AND(G131&lt;&gt;"",(OR(G131&lt;'2014legmax.xls'!AZ131, (Weightings!G131-'2014legmax.xls'!AZ131)/'2014legmax.xls'!AZ131&gt;0.025))), "Confirm!", "")</f>
        <v>Confirm!</v>
      </c>
    </row>
    <row r="132" spans="1:10">
      <c r="A132" s="54">
        <v>335</v>
      </c>
      <c r="B132" s="51">
        <v>300689</v>
      </c>
      <c r="D132" s="128" t="s">
        <v>424</v>
      </c>
      <c r="E132" s="35"/>
      <c r="F132" s="35"/>
      <c r="G132" s="35"/>
      <c r="H132" s="125"/>
      <c r="I132" s="129"/>
      <c r="J132" s="125" t="str">
        <f>IF(AND(G132&lt;&gt;"",(OR(G132&lt;'2014legmax.xls'!AZ132, (Weightings!G132-'2014legmax.xls'!AZ132)/'2014legmax.xls'!AZ132&gt;0.025))), "Confirm!", "")</f>
        <v/>
      </c>
    </row>
    <row r="133" spans="1:10">
      <c r="A133" s="54">
        <v>336</v>
      </c>
      <c r="B133" s="51">
        <v>991198</v>
      </c>
      <c r="D133" s="128" t="s">
        <v>425</v>
      </c>
      <c r="E133" s="35">
        <v>-10802</v>
      </c>
      <c r="F133" s="35"/>
      <c r="G133" s="35">
        <v>7667940</v>
      </c>
      <c r="H133" s="125">
        <v>25</v>
      </c>
      <c r="I133" s="129"/>
      <c r="J133" s="125" t="str">
        <f>IF(AND(G133&lt;&gt;"",(OR(G133&lt;'2014legmax.xls'!AZ133, (Weightings!G133-'2014legmax.xls'!AZ133)/'2014legmax.xls'!AZ133&gt;0.025))), "Confirm!", "")</f>
        <v>Confirm!</v>
      </c>
    </row>
    <row r="134" spans="1:10">
      <c r="A134" s="54">
        <v>337</v>
      </c>
      <c r="B134" s="51">
        <v>943887</v>
      </c>
      <c r="D134" s="128" t="s">
        <v>426</v>
      </c>
      <c r="E134" s="35">
        <v>-731</v>
      </c>
      <c r="F134" s="35"/>
      <c r="G134" s="35"/>
      <c r="H134" s="125">
        <v>10</v>
      </c>
      <c r="I134" s="129"/>
      <c r="J134" s="125" t="str">
        <f>IF(AND(G134&lt;&gt;"",(OR(G134&lt;'2014legmax.xls'!AZ134, (Weightings!G134-'2014legmax.xls'!AZ134)/'2014legmax.xls'!AZ134&gt;0.025))), "Confirm!", "")</f>
        <v/>
      </c>
    </row>
    <row r="135" spans="1:10">
      <c r="A135" s="54">
        <v>338</v>
      </c>
      <c r="B135" s="51">
        <v>430778</v>
      </c>
      <c r="D135" s="128" t="s">
        <v>427</v>
      </c>
      <c r="E135" s="35"/>
      <c r="F135" s="35"/>
      <c r="G135" s="35">
        <v>3131644</v>
      </c>
      <c r="H135" s="125">
        <v>21</v>
      </c>
      <c r="I135" s="129"/>
      <c r="J135" s="125" t="str">
        <f>IF(AND(G135&lt;&gt;"",(OR(G135&lt;'2014legmax.xls'!AZ135, (Weightings!G135-'2014legmax.xls'!AZ135)/'2014legmax.xls'!AZ135&gt;0.025))), "Confirm!", "")</f>
        <v/>
      </c>
    </row>
    <row r="136" spans="1:10">
      <c r="A136" s="54">
        <v>339</v>
      </c>
      <c r="B136" s="51">
        <v>513194</v>
      </c>
      <c r="D136" s="128" t="s">
        <v>428</v>
      </c>
      <c r="E136" s="35"/>
      <c r="F136" s="35"/>
      <c r="G136" s="35"/>
      <c r="H136" s="125"/>
      <c r="I136" s="129"/>
      <c r="J136" s="125" t="str">
        <f>IF(AND(G136&lt;&gt;"",(OR(G136&lt;'2014legmax.xls'!AZ136, (Weightings!G136-'2014legmax.xls'!AZ136)/'2014legmax.xls'!AZ136&gt;0.025))), "Confirm!", "")</f>
        <v/>
      </c>
    </row>
    <row r="137" spans="1:10">
      <c r="A137" s="54">
        <v>340</v>
      </c>
      <c r="B137" s="51">
        <v>949082</v>
      </c>
      <c r="D137" s="128" t="s">
        <v>429</v>
      </c>
      <c r="E137" s="35"/>
      <c r="F137" s="35"/>
      <c r="G137" s="35"/>
      <c r="H137" s="125"/>
      <c r="I137" s="129"/>
      <c r="J137" s="125" t="str">
        <f>IF(AND(G137&lt;&gt;"",(OR(G137&lt;'2014legmax.xls'!AZ137, (Weightings!G137-'2014legmax.xls'!AZ137)/'2014legmax.xls'!AZ137&gt;0.025))), "Confirm!", "")</f>
        <v/>
      </c>
    </row>
    <row r="138" spans="1:10">
      <c r="A138" s="54">
        <v>341</v>
      </c>
      <c r="B138" s="51">
        <v>778649</v>
      </c>
      <c r="D138" s="128" t="s">
        <v>430</v>
      </c>
      <c r="E138" s="35">
        <v>-788</v>
      </c>
      <c r="F138" s="35"/>
      <c r="G138" s="35">
        <v>4637839</v>
      </c>
      <c r="H138" s="125">
        <v>11</v>
      </c>
      <c r="I138" s="129"/>
      <c r="J138" s="125" t="str">
        <f>IF(AND(G138&lt;&gt;"",(OR(G138&lt;'2014legmax.xls'!AZ138, (Weightings!G138-'2014legmax.xls'!AZ138)/'2014legmax.xls'!AZ138&gt;0.025))), "Confirm!", "")</f>
        <v/>
      </c>
    </row>
    <row r="139" spans="1:10">
      <c r="A139" s="54">
        <v>342</v>
      </c>
      <c r="B139" s="51">
        <v>653028</v>
      </c>
      <c r="D139" s="128" t="s">
        <v>431</v>
      </c>
      <c r="E139" s="35"/>
      <c r="F139" s="35"/>
      <c r="G139" s="35"/>
      <c r="H139" s="125"/>
      <c r="I139" s="129"/>
      <c r="J139" s="125" t="str">
        <f>IF(AND(G139&lt;&gt;"",(OR(G139&lt;'2014legmax.xls'!AZ139, (Weightings!G139-'2014legmax.xls'!AZ139)/'2014legmax.xls'!AZ139&gt;0.025))), "Confirm!", "")</f>
        <v/>
      </c>
    </row>
    <row r="140" spans="1:10">
      <c r="A140" s="54">
        <v>343</v>
      </c>
      <c r="B140" s="51">
        <v>979752</v>
      </c>
      <c r="D140" s="128" t="s">
        <v>432</v>
      </c>
      <c r="E140" s="35"/>
      <c r="F140" s="35"/>
      <c r="G140" s="35"/>
      <c r="H140" s="125"/>
      <c r="I140" s="129"/>
      <c r="J140" s="125" t="str">
        <f>IF(AND(G140&lt;&gt;"",(OR(G140&lt;'2014legmax.xls'!AZ140, (Weightings!G140-'2014legmax.xls'!AZ140)/'2014legmax.xls'!AZ140&gt;0.025))), "Confirm!", "")</f>
        <v/>
      </c>
    </row>
    <row r="141" spans="1:10">
      <c r="A141" s="54">
        <v>344</v>
      </c>
      <c r="B141" s="51">
        <v>215399</v>
      </c>
      <c r="D141" s="128" t="s">
        <v>433</v>
      </c>
      <c r="E141" s="35"/>
      <c r="F141" s="35"/>
      <c r="G141" s="35">
        <v>2865451</v>
      </c>
      <c r="H141" s="125">
        <v>16</v>
      </c>
      <c r="I141" s="129"/>
      <c r="J141" s="125" t="str">
        <f>IF(AND(G141&lt;&gt;"",(OR(G141&lt;'2014legmax.xls'!AZ141, (Weightings!G141-'2014legmax.xls'!AZ141)/'2014legmax.xls'!AZ141&gt;0.025))), "Confirm!", "")</f>
        <v/>
      </c>
    </row>
    <row r="142" spans="1:10">
      <c r="A142" s="54">
        <v>345</v>
      </c>
      <c r="B142" s="51">
        <v>3447701</v>
      </c>
      <c r="D142" s="128" t="s">
        <v>434</v>
      </c>
      <c r="E142" s="35"/>
      <c r="F142" s="35"/>
      <c r="G142" s="35"/>
      <c r="H142" s="125"/>
      <c r="I142" s="129"/>
      <c r="J142" s="125" t="str">
        <f>IF(AND(G142&lt;&gt;"",(OR(G142&lt;'2014legmax.xls'!AZ142, (Weightings!G142-'2014legmax.xls'!AZ142)/'2014legmax.xls'!AZ142&gt;0.025))), "Confirm!", "")</f>
        <v/>
      </c>
    </row>
    <row r="143" spans="1:10">
      <c r="A143" s="54">
        <v>346</v>
      </c>
      <c r="B143" s="51">
        <v>487029</v>
      </c>
      <c r="D143" s="128" t="s">
        <v>435</v>
      </c>
      <c r="E143" s="35"/>
      <c r="F143" s="35"/>
      <c r="G143" s="35"/>
      <c r="H143" s="125"/>
      <c r="I143" s="129"/>
      <c r="J143" s="125" t="str">
        <f>IF(AND(G143&lt;&gt;"",(OR(G143&lt;'2014legmax.xls'!AZ143, (Weightings!G143-'2014legmax.xls'!AZ143)/'2014legmax.xls'!AZ143&gt;0.025))), "Confirm!", "")</f>
        <v/>
      </c>
    </row>
    <row r="144" spans="1:10">
      <c r="A144" s="54">
        <v>347</v>
      </c>
      <c r="B144" s="51">
        <v>388779</v>
      </c>
      <c r="D144" s="128" t="s">
        <v>436</v>
      </c>
      <c r="E144" s="35"/>
      <c r="F144" s="35"/>
      <c r="G144" s="35">
        <v>3250402</v>
      </c>
      <c r="H144" s="125">
        <v>27</v>
      </c>
      <c r="I144" s="129"/>
      <c r="J144" s="125" t="str">
        <f>IF(AND(G144&lt;&gt;"",(OR(G144&lt;'2014legmax.xls'!AZ144, (Weightings!G144-'2014legmax.xls'!AZ144)/'2014legmax.xls'!AZ144&gt;0.025))), "Confirm!", "")</f>
        <v>Confirm!</v>
      </c>
    </row>
    <row r="145" spans="1:10">
      <c r="A145" s="54">
        <v>348</v>
      </c>
      <c r="B145" s="51">
        <v>1163351</v>
      </c>
      <c r="D145" s="128" t="s">
        <v>437</v>
      </c>
      <c r="E145" s="35"/>
      <c r="F145" s="35"/>
      <c r="G145" s="35">
        <v>8462128</v>
      </c>
      <c r="H145" s="125">
        <v>23</v>
      </c>
      <c r="I145" s="129"/>
      <c r="J145" s="125" t="str">
        <f>IF(AND(G145&lt;&gt;"",(OR(G145&lt;'2014legmax.xls'!AZ145, (Weightings!G145-'2014legmax.xls'!AZ145)/'2014legmax.xls'!AZ145&gt;0.025))), "Confirm!", "")</f>
        <v/>
      </c>
    </row>
    <row r="146" spans="1:10">
      <c r="A146" s="54">
        <v>349</v>
      </c>
      <c r="B146" s="51">
        <v>271072</v>
      </c>
      <c r="D146" s="128" t="s">
        <v>438</v>
      </c>
      <c r="E146" s="35"/>
      <c r="F146" s="35"/>
      <c r="G146" s="35"/>
      <c r="H146" s="125"/>
      <c r="I146" s="129"/>
      <c r="J146" s="125" t="str">
        <f>IF(AND(G146&lt;&gt;"",(OR(G146&lt;'2014legmax.xls'!AZ146, (Weightings!G146-'2014legmax.xls'!AZ146)/'2014legmax.xls'!AZ146&gt;0.025))), "Confirm!", "")</f>
        <v/>
      </c>
    </row>
    <row r="147" spans="1:10">
      <c r="A147" s="54">
        <v>350</v>
      </c>
      <c r="B147" s="51">
        <v>393541</v>
      </c>
      <c r="D147" s="128" t="s">
        <v>439</v>
      </c>
      <c r="E147" s="35"/>
      <c r="F147" s="35"/>
      <c r="G147" s="35">
        <v>2713417</v>
      </c>
      <c r="H147" s="125">
        <v>25</v>
      </c>
      <c r="I147" s="129"/>
      <c r="J147" s="125" t="str">
        <f>IF(AND(G147&lt;&gt;"",(OR(G147&lt;'2014legmax.xls'!AZ147, (Weightings!G147-'2014legmax.xls'!AZ147)/'2014legmax.xls'!AZ147&gt;0.025))), "Confirm!", "")</f>
        <v/>
      </c>
    </row>
    <row r="148" spans="1:10">
      <c r="A148" s="54">
        <v>351</v>
      </c>
      <c r="B148" s="51">
        <v>308335</v>
      </c>
      <c r="D148" s="128" t="s">
        <v>440</v>
      </c>
      <c r="E148" s="35"/>
      <c r="F148" s="35"/>
      <c r="G148" s="35"/>
      <c r="H148" s="125"/>
      <c r="I148" s="129"/>
      <c r="J148" s="125" t="str">
        <f>IF(AND(G148&lt;&gt;"",(OR(G148&lt;'2014legmax.xls'!AZ148, (Weightings!G148-'2014legmax.xls'!AZ148)/'2014legmax.xls'!AZ148&gt;0.025))), "Confirm!", "")</f>
        <v/>
      </c>
    </row>
    <row r="149" spans="1:10">
      <c r="A149" s="54">
        <v>352</v>
      </c>
      <c r="B149" s="51">
        <v>840606</v>
      </c>
      <c r="D149" s="128" t="s">
        <v>441</v>
      </c>
      <c r="E149" s="35"/>
      <c r="F149" s="35"/>
      <c r="G149" s="35">
        <v>7101068</v>
      </c>
      <c r="H149" s="125">
        <v>23</v>
      </c>
      <c r="I149" s="129"/>
      <c r="J149" s="125" t="str">
        <f>IF(AND(G149&lt;&gt;"",(OR(G149&lt;'2014legmax.xls'!AZ149, (Weightings!G149-'2014legmax.xls'!AZ149)/'2014legmax.xls'!AZ149&gt;0.025))), "Confirm!", "")</f>
        <v/>
      </c>
    </row>
    <row r="150" spans="1:10">
      <c r="A150" s="54">
        <v>353</v>
      </c>
      <c r="B150" s="51">
        <v>1855849</v>
      </c>
      <c r="D150" s="128" t="s">
        <v>442</v>
      </c>
      <c r="E150" s="35"/>
      <c r="F150" s="35"/>
      <c r="G150" s="35"/>
      <c r="H150" s="125"/>
      <c r="I150" s="129"/>
      <c r="J150" s="125" t="str">
        <f>IF(AND(G150&lt;&gt;"",(OR(G150&lt;'2014legmax.xls'!AZ150, (Weightings!G150-'2014legmax.xls'!AZ150)/'2014legmax.xls'!AZ150&gt;0.025))), "Confirm!", "")</f>
        <v/>
      </c>
    </row>
    <row r="151" spans="1:10">
      <c r="A151" s="54">
        <v>355</v>
      </c>
      <c r="B151" s="51">
        <v>443078</v>
      </c>
      <c r="D151" s="128" t="s">
        <v>443</v>
      </c>
      <c r="E151" s="35"/>
      <c r="F151" s="35"/>
      <c r="G151" s="35"/>
      <c r="H151" s="125"/>
      <c r="I151" s="129"/>
      <c r="J151" s="125" t="str">
        <f>IF(AND(G151&lt;&gt;"",(OR(G151&lt;'2014legmax.xls'!AZ151, (Weightings!G151-'2014legmax.xls'!AZ151)/'2014legmax.xls'!AZ151&gt;0.025))), "Confirm!", "")</f>
        <v/>
      </c>
    </row>
    <row r="152" spans="1:10">
      <c r="A152" s="54">
        <v>356</v>
      </c>
      <c r="B152" s="51">
        <v>511282</v>
      </c>
      <c r="D152" s="128" t="s">
        <v>444</v>
      </c>
      <c r="E152" s="35"/>
      <c r="F152" s="35"/>
      <c r="G152" s="35"/>
      <c r="H152" s="125"/>
      <c r="I152" s="129"/>
      <c r="J152" s="125" t="str">
        <f>IF(AND(G152&lt;&gt;"",(OR(G152&lt;'2014legmax.xls'!AZ152, (Weightings!G152-'2014legmax.xls'!AZ152)/'2014legmax.xls'!AZ152&gt;0.025))), "Confirm!", "")</f>
        <v/>
      </c>
    </row>
    <row r="153" spans="1:10">
      <c r="A153" s="54">
        <v>357</v>
      </c>
      <c r="B153" s="51">
        <v>945653</v>
      </c>
      <c r="D153" s="128" t="s">
        <v>445</v>
      </c>
      <c r="E153" s="35"/>
      <c r="F153" s="35"/>
      <c r="G153" s="35"/>
      <c r="H153" s="125"/>
      <c r="I153" s="129"/>
      <c r="J153" s="125" t="str">
        <f>IF(AND(G153&lt;&gt;"",(OR(G153&lt;'2014legmax.xls'!AZ153, (Weightings!G153-'2014legmax.xls'!AZ153)/'2014legmax.xls'!AZ153&gt;0.025))), "Confirm!", "")</f>
        <v/>
      </c>
    </row>
    <row r="154" spans="1:10">
      <c r="A154" s="54">
        <v>358</v>
      </c>
      <c r="B154" s="51">
        <v>489876</v>
      </c>
      <c r="D154" s="128" t="s">
        <v>446</v>
      </c>
      <c r="E154" s="35"/>
      <c r="F154" s="35"/>
      <c r="G154" s="35"/>
      <c r="H154" s="125"/>
      <c r="I154" s="129"/>
      <c r="J154" s="125" t="str">
        <f>IF(AND(G154&lt;&gt;"",(OR(G154&lt;'2014legmax.xls'!AZ154, (Weightings!G154-'2014legmax.xls'!AZ154)/'2014legmax.xls'!AZ154&gt;0.025))), "Confirm!", "")</f>
        <v/>
      </c>
    </row>
    <row r="155" spans="1:10">
      <c r="A155" s="54">
        <v>359</v>
      </c>
      <c r="B155" s="51">
        <v>242767</v>
      </c>
      <c r="D155" s="128" t="s">
        <v>447</v>
      </c>
      <c r="E155" s="35"/>
      <c r="F155" s="35"/>
      <c r="G155" s="35"/>
      <c r="H155" s="125"/>
      <c r="I155" s="129"/>
      <c r="J155" s="125" t="str">
        <f>IF(AND(G155&lt;&gt;"",(OR(G155&lt;'2014legmax.xls'!AZ155, (Weightings!G155-'2014legmax.xls'!AZ155)/'2014legmax.xls'!AZ155&gt;0.025))), "Confirm!", "")</f>
        <v/>
      </c>
    </row>
    <row r="156" spans="1:10">
      <c r="A156" s="54">
        <v>360</v>
      </c>
      <c r="B156" s="51">
        <v>317974</v>
      </c>
      <c r="D156" s="128" t="s">
        <v>448</v>
      </c>
      <c r="E156" s="35"/>
      <c r="F156" s="35"/>
      <c r="G156" s="35"/>
      <c r="H156" s="125"/>
      <c r="I156" s="129"/>
      <c r="J156" s="125" t="str">
        <f>IF(AND(G156&lt;&gt;"",(OR(G156&lt;'2014legmax.xls'!AZ156, (Weightings!G156-'2014legmax.xls'!AZ156)/'2014legmax.xls'!AZ156&gt;0.025))), "Confirm!", "")</f>
        <v/>
      </c>
    </row>
    <row r="157" spans="1:10">
      <c r="A157" s="54">
        <v>361</v>
      </c>
      <c r="B157" s="51">
        <v>953494</v>
      </c>
      <c r="D157" s="128" t="s">
        <v>449</v>
      </c>
      <c r="E157" s="35"/>
      <c r="F157" s="35"/>
      <c r="G157" s="35"/>
      <c r="H157" s="125"/>
      <c r="I157" s="129"/>
      <c r="J157" s="125" t="str">
        <f>IF(AND(G157&lt;&gt;"",(OR(G157&lt;'2014legmax.xls'!AZ157, (Weightings!G157-'2014legmax.xls'!AZ157)/'2014legmax.xls'!AZ157&gt;0.025))), "Confirm!", "")</f>
        <v/>
      </c>
    </row>
    <row r="158" spans="1:10">
      <c r="A158" s="54">
        <v>362</v>
      </c>
      <c r="B158" s="51">
        <v>1412645</v>
      </c>
      <c r="D158" s="128" t="s">
        <v>450</v>
      </c>
      <c r="E158" s="35"/>
      <c r="F158" s="35"/>
      <c r="G158" s="35"/>
      <c r="H158" s="125"/>
      <c r="I158" s="129"/>
      <c r="J158" s="125" t="str">
        <f>IF(AND(G158&lt;&gt;"",(OR(G158&lt;'2014legmax.xls'!AZ158, (Weightings!G158-'2014legmax.xls'!AZ158)/'2014legmax.xls'!AZ158&gt;0.025))), "Confirm!", "")</f>
        <v/>
      </c>
    </row>
    <row r="159" spans="1:10">
      <c r="A159" s="54">
        <v>363</v>
      </c>
      <c r="B159" s="51">
        <v>529925</v>
      </c>
      <c r="D159" s="128" t="s">
        <v>451</v>
      </c>
      <c r="E159" s="35">
        <v>-1204</v>
      </c>
      <c r="F159" s="35"/>
      <c r="G159" s="35"/>
      <c r="H159" s="125">
        <v>10</v>
      </c>
      <c r="I159" s="129"/>
      <c r="J159" s="125" t="str">
        <f>IF(AND(G159&lt;&gt;"",(OR(G159&lt;'2014legmax.xls'!AZ159, (Weightings!G159-'2014legmax.xls'!AZ159)/'2014legmax.xls'!AZ159&gt;0.025))), "Confirm!", "")</f>
        <v/>
      </c>
    </row>
    <row r="160" spans="1:10">
      <c r="A160" s="54">
        <v>364</v>
      </c>
      <c r="B160" s="51">
        <v>863551</v>
      </c>
      <c r="D160" s="128" t="s">
        <v>452</v>
      </c>
      <c r="E160" s="35">
        <v>-1100</v>
      </c>
      <c r="F160" s="35"/>
      <c r="G160" s="35"/>
      <c r="H160" s="125">
        <v>21</v>
      </c>
      <c r="I160" s="129"/>
      <c r="J160" s="125" t="str">
        <f>IF(AND(G160&lt;&gt;"",(OR(G160&lt;'2014legmax.xls'!AZ160, (Weightings!G160-'2014legmax.xls'!AZ160)/'2014legmax.xls'!AZ160&gt;0.025))), "Confirm!", "")</f>
        <v/>
      </c>
    </row>
    <row r="161" spans="1:10">
      <c r="A161" s="54">
        <v>365</v>
      </c>
      <c r="B161" s="51">
        <v>918984</v>
      </c>
      <c r="D161" s="128" t="s">
        <v>453</v>
      </c>
      <c r="E161" s="35"/>
      <c r="F161" s="35"/>
      <c r="G161" s="35">
        <v>8055194</v>
      </c>
      <c r="H161" s="125">
        <v>27</v>
      </c>
      <c r="I161" s="129"/>
      <c r="J161" s="125" t="str">
        <f>IF(AND(G161&lt;&gt;"",(OR(G161&lt;'2014legmax.xls'!AZ161, (Weightings!G161-'2014legmax.xls'!AZ161)/'2014legmax.xls'!AZ161&gt;0.025))), "Confirm!", "")</f>
        <v/>
      </c>
    </row>
    <row r="162" spans="1:10">
      <c r="A162" s="54">
        <v>366</v>
      </c>
      <c r="B162" s="51">
        <v>550054</v>
      </c>
      <c r="D162" s="128" t="s">
        <v>454</v>
      </c>
      <c r="E162" s="35"/>
      <c r="F162" s="35"/>
      <c r="G162" s="35"/>
      <c r="H162" s="125"/>
      <c r="I162" s="129"/>
      <c r="J162" s="125" t="str">
        <f>IF(AND(G162&lt;&gt;"",(OR(G162&lt;'2014legmax.xls'!AZ162, (Weightings!G162-'2014legmax.xls'!AZ162)/'2014legmax.xls'!AZ162&gt;0.025))), "Confirm!", "")</f>
        <v/>
      </c>
    </row>
    <row r="163" spans="1:10">
      <c r="A163" s="54">
        <v>367</v>
      </c>
      <c r="B163" s="51">
        <v>1467129</v>
      </c>
      <c r="D163" s="128" t="s">
        <v>455</v>
      </c>
      <c r="E163" s="35"/>
      <c r="F163" s="35"/>
      <c r="G163" s="35">
        <v>8804094</v>
      </c>
      <c r="H163" s="125"/>
      <c r="I163" s="129"/>
      <c r="J163" s="125" t="str">
        <f>IF(AND(G163&lt;&gt;"",(OR(G163&lt;'2014legmax.xls'!AZ163, (Weightings!G163-'2014legmax.xls'!AZ163)/'2014legmax.xls'!AZ163&gt;0.025))), "Confirm!", "")</f>
        <v/>
      </c>
    </row>
    <row r="164" spans="1:10">
      <c r="A164" s="54">
        <v>368</v>
      </c>
      <c r="B164" s="51">
        <v>1671914</v>
      </c>
      <c r="D164" s="128" t="s">
        <v>456</v>
      </c>
      <c r="E164" s="35"/>
      <c r="F164" s="35"/>
      <c r="G164" s="35"/>
      <c r="H164" s="125"/>
      <c r="I164" s="129"/>
      <c r="J164" s="125" t="str">
        <f>IF(AND(G164&lt;&gt;"",(OR(G164&lt;'2014legmax.xls'!AZ164, (Weightings!G164-'2014legmax.xls'!AZ164)/'2014legmax.xls'!AZ164&gt;0.025))), "Confirm!", "")</f>
        <v/>
      </c>
    </row>
    <row r="165" spans="1:10">
      <c r="A165" s="54">
        <v>369</v>
      </c>
      <c r="B165" s="51">
        <v>209309</v>
      </c>
      <c r="D165" s="128" t="s">
        <v>457</v>
      </c>
      <c r="E165" s="35"/>
      <c r="F165" s="35"/>
      <c r="G165" s="35"/>
      <c r="H165" s="125"/>
      <c r="I165" s="129"/>
      <c r="J165" s="125" t="str">
        <f>IF(AND(G165&lt;&gt;"",(OR(G165&lt;'2014legmax.xls'!AZ165, (Weightings!G165-'2014legmax.xls'!AZ165)/'2014legmax.xls'!AZ165&gt;0.025))), "Confirm!", "")</f>
        <v/>
      </c>
    </row>
    <row r="166" spans="1:10">
      <c r="A166" s="54">
        <v>371</v>
      </c>
      <c r="B166" s="51">
        <v>157284</v>
      </c>
      <c r="D166" s="128" t="s">
        <v>458</v>
      </c>
      <c r="E166" s="35"/>
      <c r="F166" s="35"/>
      <c r="G166" s="35"/>
      <c r="H166" s="125"/>
      <c r="I166" s="129"/>
      <c r="J166" s="125" t="str">
        <f>IF(AND(G166&lt;&gt;"",(OR(G166&lt;'2014legmax.xls'!AZ166, (Weightings!G166-'2014legmax.xls'!AZ166)/'2014legmax.xls'!AZ166&gt;0.025))), "Confirm!", "")</f>
        <v/>
      </c>
    </row>
    <row r="167" spans="1:10">
      <c r="A167" s="54">
        <v>372</v>
      </c>
      <c r="B167" s="51">
        <v>620221</v>
      </c>
      <c r="D167" s="128" t="s">
        <v>459</v>
      </c>
      <c r="E167" s="35"/>
      <c r="F167" s="35"/>
      <c r="G167" s="35">
        <v>4621336</v>
      </c>
      <c r="H167" s="125"/>
      <c r="I167" s="129"/>
      <c r="J167" s="125" t="str">
        <f>IF(AND(G167&lt;&gt;"",(OR(G167&lt;'2014legmax.xls'!AZ167, (Weightings!G167-'2014legmax.xls'!AZ167)/'2014legmax.xls'!AZ167&gt;0.025))), "Confirm!", "")</f>
        <v/>
      </c>
    </row>
    <row r="168" spans="1:10">
      <c r="A168" s="54">
        <v>373</v>
      </c>
      <c r="B168" s="51">
        <v>3030773</v>
      </c>
      <c r="D168" s="128" t="s">
        <v>460</v>
      </c>
      <c r="E168" s="35"/>
      <c r="F168" s="35"/>
      <c r="G168" s="35"/>
      <c r="H168" s="125"/>
      <c r="I168" s="129"/>
      <c r="J168" s="125" t="str">
        <f>IF(AND(G168&lt;&gt;"",(OR(G168&lt;'2014legmax.xls'!AZ168, (Weightings!G168-'2014legmax.xls'!AZ168)/'2014legmax.xls'!AZ168&gt;0.025))), "Confirm!", "")</f>
        <v/>
      </c>
    </row>
    <row r="169" spans="1:10">
      <c r="A169" s="54">
        <v>374</v>
      </c>
      <c r="B169" s="51">
        <v>311042</v>
      </c>
      <c r="D169" s="128" t="s">
        <v>461</v>
      </c>
      <c r="E169" s="35"/>
      <c r="F169" s="35"/>
      <c r="G169" s="35"/>
      <c r="H169" s="125"/>
      <c r="I169" s="129"/>
      <c r="J169" s="125" t="str">
        <f>IF(AND(G169&lt;&gt;"",(OR(G169&lt;'2014legmax.xls'!AZ169, (Weightings!G169-'2014legmax.xls'!AZ169)/'2014legmax.xls'!AZ169&gt;0.025))), "Confirm!", "")</f>
        <v/>
      </c>
    </row>
    <row r="170" spans="1:10">
      <c r="A170" s="54">
        <v>375</v>
      </c>
      <c r="B170" s="51">
        <v>1237181</v>
      </c>
      <c r="D170" s="128" t="s">
        <v>462</v>
      </c>
      <c r="E170" s="35"/>
      <c r="F170" s="35"/>
      <c r="G170" s="35"/>
      <c r="H170" s="125"/>
      <c r="I170" s="129"/>
      <c r="J170" s="125" t="str">
        <f>IF(AND(G170&lt;&gt;"",(OR(G170&lt;'2014legmax.xls'!AZ170, (Weightings!G170-'2014legmax.xls'!AZ170)/'2014legmax.xls'!AZ170&gt;0.025))), "Confirm!", "")</f>
        <v/>
      </c>
    </row>
    <row r="171" spans="1:10">
      <c r="A171" s="54">
        <v>376</v>
      </c>
      <c r="B171" s="51">
        <v>610570</v>
      </c>
      <c r="D171" s="128" t="s">
        <v>463</v>
      </c>
      <c r="E171" s="35"/>
      <c r="F171" s="35"/>
      <c r="G171" s="35"/>
      <c r="H171" s="125"/>
      <c r="I171" s="129"/>
      <c r="J171" s="125" t="str">
        <f>IF(AND(G171&lt;&gt;"",(OR(G171&lt;'2014legmax.xls'!AZ171, (Weightings!G171-'2014legmax.xls'!AZ171)/'2014legmax.xls'!AZ171&gt;0.025))), "Confirm!", "")</f>
        <v/>
      </c>
    </row>
    <row r="172" spans="1:10">
      <c r="A172" s="54">
        <v>377</v>
      </c>
      <c r="B172" s="51">
        <v>870652</v>
      </c>
      <c r="D172" s="128" t="s">
        <v>464</v>
      </c>
      <c r="E172" s="35"/>
      <c r="F172" s="35"/>
      <c r="G172" s="35"/>
      <c r="H172" s="125"/>
      <c r="I172" s="129"/>
      <c r="J172" s="125" t="str">
        <f>IF(AND(G172&lt;&gt;"",(OR(G172&lt;'2014legmax.xls'!AZ172, (Weightings!G172-'2014legmax.xls'!AZ172)/'2014legmax.xls'!AZ172&gt;0.025))), "Confirm!", "")</f>
        <v/>
      </c>
    </row>
    <row r="173" spans="1:10">
      <c r="A173" s="54">
        <v>378</v>
      </c>
      <c r="B173" s="51">
        <v>682551</v>
      </c>
      <c r="D173" s="128" t="s">
        <v>465</v>
      </c>
      <c r="E173" s="35">
        <v>-804</v>
      </c>
      <c r="F173" s="35"/>
      <c r="G173" s="35"/>
      <c r="H173" s="125">
        <v>11</v>
      </c>
      <c r="I173" s="129"/>
      <c r="J173" s="125" t="str">
        <f>IF(AND(G173&lt;&gt;"",(OR(G173&lt;'2014legmax.xls'!AZ173, (Weightings!G173-'2014legmax.xls'!AZ173)/'2014legmax.xls'!AZ173&gt;0.025))), "Confirm!", "")</f>
        <v/>
      </c>
    </row>
    <row r="174" spans="1:10">
      <c r="A174" s="54">
        <v>379</v>
      </c>
      <c r="B174" s="51">
        <v>1199396</v>
      </c>
      <c r="D174" s="128" t="s">
        <v>466</v>
      </c>
      <c r="E174" s="35">
        <v>-1096</v>
      </c>
      <c r="F174" s="35"/>
      <c r="G174" s="35"/>
      <c r="H174" s="125"/>
      <c r="I174" s="129"/>
      <c r="J174" s="125" t="str">
        <f>IF(AND(G174&lt;&gt;"",(OR(G174&lt;'2014legmax.xls'!AZ174, (Weightings!G174-'2014legmax.xls'!AZ174)/'2014legmax.xls'!AZ174&gt;0.025))), "Confirm!", "")</f>
        <v/>
      </c>
    </row>
    <row r="175" spans="1:10">
      <c r="A175" s="54">
        <v>380</v>
      </c>
      <c r="B175" s="51">
        <v>381367</v>
      </c>
      <c r="D175" s="128" t="s">
        <v>467</v>
      </c>
      <c r="E175" s="35"/>
      <c r="F175" s="35"/>
      <c r="G175" s="35"/>
      <c r="H175" s="125"/>
      <c r="I175" s="129"/>
      <c r="J175" s="125" t="str">
        <f>IF(AND(G175&lt;&gt;"",(OR(G175&lt;'2014legmax.xls'!AZ175, (Weightings!G175-'2014legmax.xls'!AZ175)/'2014legmax.xls'!AZ175&gt;0.025))), "Confirm!", "")</f>
        <v/>
      </c>
    </row>
    <row r="176" spans="1:10">
      <c r="A176" s="54">
        <v>381</v>
      </c>
      <c r="B176" s="51">
        <v>294126</v>
      </c>
      <c r="D176" s="128" t="s">
        <v>468</v>
      </c>
      <c r="E176" s="35"/>
      <c r="F176" s="35"/>
      <c r="G176" s="35"/>
      <c r="H176" s="125"/>
      <c r="I176" s="129"/>
      <c r="J176" s="125" t="str">
        <f>IF(AND(G176&lt;&gt;"",(OR(G176&lt;'2014legmax.xls'!AZ176, (Weightings!G176-'2014legmax.xls'!AZ176)/'2014legmax.xls'!AZ176&gt;0.025))), "Confirm!", "")</f>
        <v/>
      </c>
    </row>
    <row r="177" spans="1:10">
      <c r="A177" s="54">
        <v>382</v>
      </c>
      <c r="B177" s="51">
        <v>1113369</v>
      </c>
      <c r="D177" s="128" t="s">
        <v>469</v>
      </c>
      <c r="E177" s="35"/>
      <c r="F177" s="35"/>
      <c r="G177" s="35">
        <v>7647599</v>
      </c>
      <c r="H177" s="125">
        <v>25</v>
      </c>
      <c r="I177" s="129"/>
      <c r="J177" s="125" t="str">
        <f>IF(AND(G177&lt;&gt;"",(OR(G177&lt;'2014legmax.xls'!AZ177, (Weightings!G177-'2014legmax.xls'!AZ177)/'2014legmax.xls'!AZ177&gt;0.025))), "Confirm!", "")</f>
        <v/>
      </c>
    </row>
    <row r="178" spans="1:10">
      <c r="A178" s="54">
        <v>383</v>
      </c>
      <c r="B178" s="51">
        <v>5959414</v>
      </c>
      <c r="D178" s="128" t="s">
        <v>470</v>
      </c>
      <c r="E178" s="35">
        <v>-575</v>
      </c>
      <c r="F178" s="35"/>
      <c r="G178" s="35"/>
      <c r="H178" s="125">
        <v>18</v>
      </c>
      <c r="I178" s="129"/>
      <c r="J178" s="125" t="str">
        <f>IF(AND(G178&lt;&gt;"",(OR(G178&lt;'2014legmax.xls'!AZ178, (Weightings!G178-'2014legmax.xls'!AZ178)/'2014legmax.xls'!AZ178&gt;0.025))), "Confirm!", "")</f>
        <v/>
      </c>
    </row>
    <row r="179" spans="1:10">
      <c r="A179" s="54">
        <v>384</v>
      </c>
      <c r="B179" s="51">
        <v>285953</v>
      </c>
      <c r="D179" s="128" t="s">
        <v>471</v>
      </c>
      <c r="E179" s="35">
        <v>-1229</v>
      </c>
      <c r="F179" s="35"/>
      <c r="G179" s="35"/>
      <c r="H179" s="125">
        <v>21</v>
      </c>
      <c r="I179" s="129"/>
      <c r="J179" s="125" t="str">
        <f>IF(AND(G179&lt;&gt;"",(OR(G179&lt;'2014legmax.xls'!AZ179, (Weightings!G179-'2014legmax.xls'!AZ179)/'2014legmax.xls'!AZ179&gt;0.025))), "Confirm!", "")</f>
        <v/>
      </c>
    </row>
    <row r="180" spans="1:10">
      <c r="A180" s="54">
        <v>385</v>
      </c>
      <c r="B180" s="51">
        <v>3115951</v>
      </c>
      <c r="D180" s="128" t="s">
        <v>472</v>
      </c>
      <c r="E180" s="35">
        <v>-1150</v>
      </c>
      <c r="F180" s="35"/>
      <c r="G180" s="35">
        <v>29771790</v>
      </c>
      <c r="H180" s="125">
        <v>15</v>
      </c>
      <c r="I180" s="129"/>
      <c r="J180" s="125" t="str">
        <f>IF(AND(G180&lt;&gt;"",(OR(G180&lt;'2014legmax.xls'!AZ180, (Weightings!G180-'2014legmax.xls'!AZ180)/'2014legmax.xls'!AZ180&gt;0.025))), "Confirm!", "")</f>
        <v/>
      </c>
    </row>
    <row r="181" spans="1:10">
      <c r="A181" s="54">
        <v>386</v>
      </c>
      <c r="B181" s="51">
        <v>254392</v>
      </c>
      <c r="D181" s="128" t="s">
        <v>473</v>
      </c>
      <c r="E181" s="35"/>
      <c r="F181" s="35"/>
      <c r="G181" s="35">
        <v>2185484</v>
      </c>
      <c r="H181" s="125"/>
      <c r="I181" s="129"/>
      <c r="J181" s="125" t="str">
        <f>IF(AND(G181&lt;&gt;"",(OR(G181&lt;'2014legmax.xls'!AZ181, (Weightings!G181-'2014legmax.xls'!AZ181)/'2014legmax.xls'!AZ181&gt;0.025))), "Confirm!", "")</f>
        <v/>
      </c>
    </row>
    <row r="182" spans="1:10">
      <c r="A182" s="54">
        <v>387</v>
      </c>
      <c r="B182" s="51">
        <v>266166</v>
      </c>
      <c r="D182" s="128" t="s">
        <v>474</v>
      </c>
      <c r="E182" s="35"/>
      <c r="F182" s="35"/>
      <c r="G182" s="35"/>
      <c r="H182" s="125"/>
      <c r="I182" s="129"/>
      <c r="J182" s="125" t="str">
        <f>IF(AND(G182&lt;&gt;"",(OR(G182&lt;'2014legmax.xls'!AZ182, (Weightings!G182-'2014legmax.xls'!AZ182)/'2014legmax.xls'!AZ182&gt;0.025))), "Confirm!", "")</f>
        <v/>
      </c>
    </row>
    <row r="183" spans="1:10">
      <c r="A183" s="54">
        <v>388</v>
      </c>
      <c r="B183" s="51">
        <v>382482</v>
      </c>
      <c r="D183" s="128" t="s">
        <v>475</v>
      </c>
      <c r="E183" s="35"/>
      <c r="F183" s="35"/>
      <c r="G183" s="35"/>
      <c r="H183" s="125"/>
      <c r="I183" s="129"/>
      <c r="J183" s="125" t="str">
        <f>IF(AND(G183&lt;&gt;"",(OR(G183&lt;'2014legmax.xls'!AZ183, (Weightings!G183-'2014legmax.xls'!AZ183)/'2014legmax.xls'!AZ183&gt;0.025))), "Confirm!", "")</f>
        <v/>
      </c>
    </row>
    <row r="184" spans="1:10">
      <c r="A184" s="54">
        <v>389</v>
      </c>
      <c r="B184" s="51">
        <v>562510</v>
      </c>
      <c r="D184" s="128" t="s">
        <v>476</v>
      </c>
      <c r="E184" s="35"/>
      <c r="F184" s="35"/>
      <c r="G184" s="35">
        <v>5080744</v>
      </c>
      <c r="H184" s="125">
        <v>31</v>
      </c>
      <c r="I184" s="129"/>
      <c r="J184" s="125" t="str">
        <f>IF(AND(G184&lt;&gt;"",(OR(G184&lt;'2014legmax.xls'!AZ184, (Weightings!G184-'2014legmax.xls'!AZ184)/'2014legmax.xls'!AZ184&gt;0.025))), "Confirm!", "")</f>
        <v/>
      </c>
    </row>
    <row r="185" spans="1:10">
      <c r="A185" s="54">
        <v>390</v>
      </c>
      <c r="B185" s="51">
        <v>135051</v>
      </c>
      <c r="D185" s="128" t="s">
        <v>477</v>
      </c>
      <c r="E185" s="35"/>
      <c r="F185" s="35"/>
      <c r="G185" s="35"/>
      <c r="H185" s="125"/>
      <c r="I185" s="129"/>
      <c r="J185" s="125" t="str">
        <f>IF(AND(G185&lt;&gt;"",(OR(G185&lt;'2014legmax.xls'!AZ185, (Weightings!G185-'2014legmax.xls'!AZ185)/'2014legmax.xls'!AZ185&gt;0.025))), "Confirm!", "")</f>
        <v/>
      </c>
    </row>
    <row r="186" spans="1:10">
      <c r="A186" s="54">
        <v>392</v>
      </c>
      <c r="B186" s="51">
        <v>395888</v>
      </c>
      <c r="D186" s="128" t="s">
        <v>478</v>
      </c>
      <c r="E186" s="35"/>
      <c r="F186" s="35"/>
      <c r="G186" s="35"/>
      <c r="H186" s="125"/>
      <c r="I186" s="129"/>
      <c r="J186" s="125" t="str">
        <f>IF(AND(G186&lt;&gt;"",(OR(G186&lt;'2014legmax.xls'!AZ186, (Weightings!G186-'2014legmax.xls'!AZ186)/'2014legmax.xls'!AZ186&gt;0.025))), "Confirm!", "")</f>
        <v/>
      </c>
    </row>
    <row r="187" spans="1:10">
      <c r="A187" s="54">
        <v>393</v>
      </c>
      <c r="B187" s="51">
        <v>363948</v>
      </c>
      <c r="D187" s="128" t="s">
        <v>479</v>
      </c>
      <c r="E187" s="35"/>
      <c r="F187" s="35"/>
      <c r="G187" s="35">
        <v>2724596</v>
      </c>
      <c r="H187" s="125">
        <v>16</v>
      </c>
      <c r="I187" s="129"/>
      <c r="J187" s="125" t="str">
        <f>IF(AND(G187&lt;&gt;"",(OR(G187&lt;'2014legmax.xls'!AZ187, (Weightings!G187-'2014legmax.xls'!AZ187)/'2014legmax.xls'!AZ187&gt;0.025))), "Confirm!", "")</f>
        <v/>
      </c>
    </row>
    <row r="188" spans="1:10">
      <c r="A188" s="54">
        <v>394</v>
      </c>
      <c r="B188" s="51">
        <v>1297380</v>
      </c>
      <c r="D188" s="128" t="s">
        <v>480</v>
      </c>
      <c r="E188" s="35"/>
      <c r="F188" s="35"/>
      <c r="G188" s="35">
        <v>9240369</v>
      </c>
      <c r="H188" s="125"/>
      <c r="I188" s="129"/>
      <c r="J188" s="125" t="str">
        <f>IF(AND(G188&lt;&gt;"",(OR(G188&lt;'2014legmax.xls'!AZ188, (Weightings!G188-'2014legmax.xls'!AZ188)/'2014legmax.xls'!AZ188&gt;0.025))), "Confirm!", "")</f>
        <v/>
      </c>
    </row>
    <row r="189" spans="1:10">
      <c r="A189" s="54">
        <v>395</v>
      </c>
      <c r="B189" s="51">
        <v>365920</v>
      </c>
      <c r="D189" s="128" t="s">
        <v>481</v>
      </c>
      <c r="E189" s="35"/>
      <c r="F189" s="35"/>
      <c r="G189" s="35"/>
      <c r="H189" s="125"/>
      <c r="I189" s="129"/>
      <c r="J189" s="125" t="str">
        <f>IF(AND(G189&lt;&gt;"",(OR(G189&lt;'2014legmax.xls'!AZ189, (Weightings!G189-'2014legmax.xls'!AZ189)/'2014legmax.xls'!AZ189&gt;0.025))), "Confirm!", "")</f>
        <v/>
      </c>
    </row>
    <row r="190" spans="1:10">
      <c r="A190" s="54">
        <v>396</v>
      </c>
      <c r="B190" s="51">
        <v>745599</v>
      </c>
      <c r="D190" s="128" t="s">
        <v>482</v>
      </c>
      <c r="E190" s="35"/>
      <c r="F190" s="35"/>
      <c r="G190" s="35"/>
      <c r="H190" s="125"/>
      <c r="I190" s="129"/>
      <c r="J190" s="125" t="str">
        <f>IF(AND(G190&lt;&gt;"",(OR(G190&lt;'2014legmax.xls'!AZ190, (Weightings!G190-'2014legmax.xls'!AZ190)/'2014legmax.xls'!AZ190&gt;0.025))), "Confirm!", "")</f>
        <v/>
      </c>
    </row>
    <row r="191" spans="1:10">
      <c r="A191" s="54">
        <v>397</v>
      </c>
      <c r="B191" s="51">
        <v>311503</v>
      </c>
      <c r="D191" s="128" t="s">
        <v>483</v>
      </c>
      <c r="E191" s="35"/>
      <c r="F191" s="35"/>
      <c r="G191" s="35">
        <v>3032788</v>
      </c>
      <c r="H191" s="125"/>
      <c r="I191" s="129"/>
      <c r="J191" s="125" t="str">
        <f>IF(AND(G191&lt;&gt;"",(OR(G191&lt;'2014legmax.xls'!AZ191, (Weightings!G191-'2014legmax.xls'!AZ191)/'2014legmax.xls'!AZ191&gt;0.025))), "Confirm!", "")</f>
        <v/>
      </c>
    </row>
    <row r="192" spans="1:10">
      <c r="A192" s="54">
        <v>398</v>
      </c>
      <c r="B192" s="51">
        <v>429491</v>
      </c>
      <c r="D192" s="128" t="s">
        <v>484</v>
      </c>
      <c r="E192" s="35"/>
      <c r="F192" s="35"/>
      <c r="G192" s="35"/>
      <c r="H192" s="125"/>
      <c r="I192" s="129"/>
      <c r="J192" s="125" t="str">
        <f>IF(AND(G192&lt;&gt;"",(OR(G192&lt;'2014legmax.xls'!AZ192, (Weightings!G192-'2014legmax.xls'!AZ192)/'2014legmax.xls'!AZ192&gt;0.025))), "Confirm!", "")</f>
        <v/>
      </c>
    </row>
    <row r="193" spans="1:10">
      <c r="A193" s="54">
        <v>399</v>
      </c>
      <c r="B193" s="51">
        <v>173570</v>
      </c>
      <c r="D193" s="128" t="s">
        <v>485</v>
      </c>
      <c r="E193" s="35"/>
      <c r="F193" s="35"/>
      <c r="G193" s="35"/>
      <c r="H193" s="125"/>
      <c r="I193" s="129"/>
      <c r="J193" s="125" t="str">
        <f>IF(AND(G193&lt;&gt;"",(OR(G193&lt;'2014legmax.xls'!AZ193, (Weightings!G193-'2014legmax.xls'!AZ193)/'2014legmax.xls'!AZ193&gt;0.025))), "Confirm!", "")</f>
        <v/>
      </c>
    </row>
    <row r="194" spans="1:10">
      <c r="A194" s="54">
        <v>400</v>
      </c>
      <c r="B194" s="51">
        <v>934526</v>
      </c>
      <c r="D194" s="128" t="s">
        <v>486</v>
      </c>
      <c r="E194" s="35"/>
      <c r="F194" s="35"/>
      <c r="G194" s="35"/>
      <c r="H194" s="125"/>
      <c r="I194" s="129"/>
      <c r="J194" s="125" t="str">
        <f>IF(AND(G194&lt;&gt;"",(OR(G194&lt;'2014legmax.xls'!AZ194, (Weightings!G194-'2014legmax.xls'!AZ194)/'2014legmax.xls'!AZ194&gt;0.025))), "Confirm!", "")</f>
        <v/>
      </c>
    </row>
    <row r="195" spans="1:10">
      <c r="A195" s="54">
        <v>401</v>
      </c>
      <c r="B195" s="51">
        <v>145015</v>
      </c>
      <c r="D195" s="128" t="s">
        <v>487</v>
      </c>
      <c r="E195" s="35"/>
      <c r="F195" s="35"/>
      <c r="G195" s="35">
        <v>1644967</v>
      </c>
      <c r="H195" s="125">
        <v>31</v>
      </c>
      <c r="I195" s="129"/>
      <c r="J195" s="125" t="str">
        <f>IF(AND(G195&lt;&gt;"",(OR(G195&lt;'2014legmax.xls'!AZ195, (Weightings!G195-'2014legmax.xls'!AZ195)/'2014legmax.xls'!AZ195&gt;0.025))), "Confirm!", "")</f>
        <v/>
      </c>
    </row>
    <row r="196" spans="1:10">
      <c r="A196" s="54">
        <v>402</v>
      </c>
      <c r="B196" s="51">
        <v>1657128</v>
      </c>
      <c r="D196" s="128" t="s">
        <v>488</v>
      </c>
      <c r="E196" s="35"/>
      <c r="F196" s="35"/>
      <c r="G196" s="35">
        <v>12814698</v>
      </c>
      <c r="H196" s="125"/>
      <c r="I196" s="129"/>
      <c r="J196" s="125" t="str">
        <f>IF(AND(G196&lt;&gt;"",(OR(G196&lt;'2014legmax.xls'!AZ196, (Weightings!G196-'2014legmax.xls'!AZ196)/'2014legmax.xls'!AZ196&gt;0.025))), "Confirm!", "")</f>
        <v/>
      </c>
    </row>
    <row r="197" spans="1:10">
      <c r="A197" s="54">
        <v>403</v>
      </c>
      <c r="B197" s="51">
        <v>252027</v>
      </c>
      <c r="D197" s="128" t="s">
        <v>489</v>
      </c>
      <c r="E197" s="35"/>
      <c r="F197" s="35"/>
      <c r="G197" s="35"/>
      <c r="H197" s="125"/>
      <c r="I197" s="129"/>
      <c r="J197" s="125" t="str">
        <f>IF(AND(G197&lt;&gt;"",(OR(G197&lt;'2014legmax.xls'!AZ197, (Weightings!G197-'2014legmax.xls'!AZ197)/'2014legmax.xls'!AZ197&gt;0.025))), "Confirm!", "")</f>
        <v/>
      </c>
    </row>
    <row r="198" spans="1:10">
      <c r="A198" s="54">
        <v>404</v>
      </c>
      <c r="B198" s="51">
        <v>675003</v>
      </c>
      <c r="D198" s="128" t="s">
        <v>490</v>
      </c>
      <c r="E198" s="35"/>
      <c r="F198" s="35"/>
      <c r="G198" s="35"/>
      <c r="H198" s="125"/>
      <c r="I198" s="129"/>
      <c r="J198" s="125" t="str">
        <f>IF(AND(G198&lt;&gt;"",(OR(G198&lt;'2014legmax.xls'!AZ198, (Weightings!G198-'2014legmax.xls'!AZ198)/'2014legmax.xls'!AZ198&gt;0.025))), "Confirm!", "")</f>
        <v/>
      </c>
    </row>
    <row r="199" spans="1:10">
      <c r="A199" s="54">
        <v>405</v>
      </c>
      <c r="B199" s="51">
        <v>845087</v>
      </c>
      <c r="D199" s="128" t="s">
        <v>491</v>
      </c>
      <c r="E199" s="35"/>
      <c r="F199" s="35"/>
      <c r="G199" s="35"/>
      <c r="H199" s="125"/>
      <c r="I199" s="129"/>
      <c r="J199" s="125" t="str">
        <f>IF(AND(G199&lt;&gt;"",(OR(G199&lt;'2014legmax.xls'!AZ199, (Weightings!G199-'2014legmax.xls'!AZ199)/'2014legmax.xls'!AZ199&gt;0.025))), "Confirm!", "")</f>
        <v/>
      </c>
    </row>
    <row r="200" spans="1:10">
      <c r="A200" s="54">
        <v>407</v>
      </c>
      <c r="B200" s="51">
        <v>833131</v>
      </c>
      <c r="D200" s="128" t="s">
        <v>492</v>
      </c>
      <c r="E200" s="35"/>
      <c r="F200" s="35"/>
      <c r="G200" s="35"/>
      <c r="H200" s="125"/>
      <c r="I200" s="129"/>
      <c r="J200" s="125" t="str">
        <f>IF(AND(G200&lt;&gt;"",(OR(G200&lt;'2014legmax.xls'!AZ200, (Weightings!G200-'2014legmax.xls'!AZ200)/'2014legmax.xls'!AZ200&gt;0.025))), "Confirm!", "")</f>
        <v/>
      </c>
    </row>
    <row r="201" spans="1:10">
      <c r="A201" s="54">
        <v>408</v>
      </c>
      <c r="B201" s="51">
        <v>733262</v>
      </c>
      <c r="D201" s="128" t="s">
        <v>493</v>
      </c>
      <c r="E201" s="35"/>
      <c r="F201" s="35"/>
      <c r="G201" s="35"/>
      <c r="H201" s="125"/>
      <c r="I201" s="129"/>
      <c r="J201" s="125" t="str">
        <f>IF(AND(G201&lt;&gt;"",(OR(G201&lt;'2014legmax.xls'!AZ201, (Weightings!G201-'2014legmax.xls'!AZ201)/'2014legmax.xls'!AZ201&gt;0.025))), "Confirm!", "")</f>
        <v/>
      </c>
    </row>
    <row r="202" spans="1:10">
      <c r="A202" s="54">
        <v>409</v>
      </c>
      <c r="B202" s="51">
        <v>1734681</v>
      </c>
      <c r="D202" s="128" t="s">
        <v>494</v>
      </c>
      <c r="E202" s="35"/>
      <c r="F202" s="35"/>
      <c r="G202" s="35"/>
      <c r="H202" s="125"/>
      <c r="I202" s="129"/>
      <c r="J202" s="125" t="str">
        <f>IF(AND(G202&lt;&gt;"",(OR(G202&lt;'2014legmax.xls'!AZ202, (Weightings!G202-'2014legmax.xls'!AZ202)/'2014legmax.xls'!AZ202&gt;0.025))), "Confirm!", "")</f>
        <v/>
      </c>
    </row>
    <row r="203" spans="1:10">
      <c r="A203" s="54">
        <v>410</v>
      </c>
      <c r="B203" s="51">
        <v>785523</v>
      </c>
      <c r="D203" s="128" t="s">
        <v>495</v>
      </c>
      <c r="E203" s="35"/>
      <c r="F203" s="35"/>
      <c r="G203" s="35"/>
      <c r="H203" s="125"/>
      <c r="I203" s="129"/>
      <c r="J203" s="125" t="str">
        <f>IF(AND(G203&lt;&gt;"",(OR(G203&lt;'2014legmax.xls'!AZ203, (Weightings!G203-'2014legmax.xls'!AZ203)/'2014legmax.xls'!AZ203&gt;0.025))), "Confirm!", "")</f>
        <v/>
      </c>
    </row>
    <row r="204" spans="1:10">
      <c r="A204" s="54">
        <v>411</v>
      </c>
      <c r="B204" s="51">
        <v>323216</v>
      </c>
      <c r="D204" s="128" t="s">
        <v>496</v>
      </c>
      <c r="E204" s="35"/>
      <c r="F204" s="35"/>
      <c r="G204" s="35">
        <v>2273247</v>
      </c>
      <c r="H204" s="125">
        <v>20</v>
      </c>
      <c r="I204" s="129"/>
      <c r="J204" s="125" t="str">
        <f>IF(AND(G204&lt;&gt;"",(OR(G204&lt;'2014legmax.xls'!AZ204, (Weightings!G204-'2014legmax.xls'!AZ204)/'2014legmax.xls'!AZ204&gt;0.025))), "Confirm!", "")</f>
        <v/>
      </c>
    </row>
    <row r="205" spans="1:10">
      <c r="A205" s="54">
        <v>412</v>
      </c>
      <c r="B205" s="51">
        <v>373688</v>
      </c>
      <c r="D205" s="128" t="s">
        <v>497</v>
      </c>
      <c r="E205" s="35"/>
      <c r="F205" s="35"/>
      <c r="G205" s="35"/>
      <c r="H205" s="125"/>
      <c r="I205" s="129"/>
      <c r="J205" s="125" t="str">
        <f>IF(AND(G205&lt;&gt;"",(OR(G205&lt;'2014legmax.xls'!AZ205, (Weightings!G205-'2014legmax.xls'!AZ205)/'2014legmax.xls'!AZ205&gt;0.025))), "Confirm!", "")</f>
        <v/>
      </c>
    </row>
    <row r="206" spans="1:10">
      <c r="A206" s="54">
        <v>413</v>
      </c>
      <c r="B206" s="51">
        <v>2137449</v>
      </c>
      <c r="D206" s="128" t="s">
        <v>498</v>
      </c>
      <c r="E206" s="35">
        <v>-1399</v>
      </c>
      <c r="F206" s="35"/>
      <c r="G206" s="35">
        <v>12427828</v>
      </c>
      <c r="H206" s="125">
        <v>10</v>
      </c>
      <c r="I206" s="129"/>
      <c r="J206" s="125" t="str">
        <f>IF(AND(G206&lt;&gt;"",(OR(G206&lt;'2014legmax.xls'!AZ206, (Weightings!G206-'2014legmax.xls'!AZ206)/'2014legmax.xls'!AZ206&gt;0.025))), "Confirm!", "")</f>
        <v/>
      </c>
    </row>
    <row r="207" spans="1:10">
      <c r="A207" s="54">
        <v>415</v>
      </c>
      <c r="B207" s="51">
        <v>976775</v>
      </c>
      <c r="D207" s="128" t="s">
        <v>499</v>
      </c>
      <c r="E207" s="35"/>
      <c r="F207" s="35"/>
      <c r="G207" s="35"/>
      <c r="H207" s="125"/>
      <c r="I207" s="129"/>
      <c r="J207" s="125" t="str">
        <f>IF(AND(G207&lt;&gt;"",(OR(G207&lt;'2014legmax.xls'!AZ207, (Weightings!G207-'2014legmax.xls'!AZ207)/'2014legmax.xls'!AZ207&gt;0.025))), "Confirm!", "")</f>
        <v/>
      </c>
    </row>
    <row r="208" spans="1:10">
      <c r="A208" s="54">
        <v>416</v>
      </c>
      <c r="B208" s="51">
        <v>1237349</v>
      </c>
      <c r="D208" s="128" t="s">
        <v>500</v>
      </c>
      <c r="E208" s="35"/>
      <c r="F208" s="35"/>
      <c r="G208" s="35"/>
      <c r="H208" s="125"/>
      <c r="I208" s="129"/>
      <c r="J208" s="125" t="str">
        <f>IF(AND(G208&lt;&gt;"",(OR(G208&lt;'2014legmax.xls'!AZ208, (Weightings!G208-'2014legmax.xls'!AZ208)/'2014legmax.xls'!AZ208&gt;0.025))), "Confirm!", "")</f>
        <v/>
      </c>
    </row>
    <row r="209" spans="1:10">
      <c r="A209" s="54">
        <v>417</v>
      </c>
      <c r="B209" s="51">
        <v>672573</v>
      </c>
      <c r="D209" s="128" t="s">
        <v>501</v>
      </c>
      <c r="E209" s="35"/>
      <c r="F209" s="35"/>
      <c r="G209" s="35"/>
      <c r="H209" s="125"/>
      <c r="I209" s="129"/>
      <c r="J209" s="125" t="str">
        <f>IF(AND(G209&lt;&gt;"",(OR(G209&lt;'2014legmax.xls'!AZ209, (Weightings!G209-'2014legmax.xls'!AZ209)/'2014legmax.xls'!AZ209&gt;0.025))), "Confirm!", "")</f>
        <v/>
      </c>
    </row>
    <row r="210" spans="1:10">
      <c r="A210" s="54">
        <v>418</v>
      </c>
      <c r="B210" s="51">
        <v>2296201</v>
      </c>
      <c r="D210" s="128" t="s">
        <v>502</v>
      </c>
      <c r="E210" s="35"/>
      <c r="F210" s="35"/>
      <c r="G210" s="35"/>
      <c r="H210" s="125"/>
      <c r="I210" s="129"/>
      <c r="J210" s="125" t="str">
        <f>IF(AND(G210&lt;&gt;"",(OR(G210&lt;'2014legmax.xls'!AZ210, (Weightings!G210-'2014legmax.xls'!AZ210)/'2014legmax.xls'!AZ210&gt;0.025))), "Confirm!", "")</f>
        <v/>
      </c>
    </row>
    <row r="211" spans="1:10">
      <c r="A211" s="54">
        <v>419</v>
      </c>
      <c r="B211" s="51">
        <v>394917</v>
      </c>
      <c r="D211" s="128" t="s">
        <v>503</v>
      </c>
      <c r="E211" s="35"/>
      <c r="F211" s="35"/>
      <c r="G211" s="35"/>
      <c r="H211" s="125"/>
      <c r="I211" s="129"/>
      <c r="J211" s="125" t="str">
        <f>IF(AND(G211&lt;&gt;"",(OR(G211&lt;'2014legmax.xls'!AZ211, (Weightings!G211-'2014legmax.xls'!AZ211)/'2014legmax.xls'!AZ211&gt;0.025))), "Confirm!", "")</f>
        <v/>
      </c>
    </row>
    <row r="212" spans="1:10">
      <c r="A212" s="54">
        <v>420</v>
      </c>
      <c r="B212" s="51">
        <v>822116</v>
      </c>
      <c r="D212" s="128" t="s">
        <v>504</v>
      </c>
      <c r="E212" s="35">
        <v>-3377</v>
      </c>
      <c r="F212" s="35"/>
      <c r="G212" s="35"/>
      <c r="H212" s="125">
        <v>15</v>
      </c>
      <c r="I212" s="129"/>
      <c r="J212" s="125" t="str">
        <f>IF(AND(G212&lt;&gt;"",(OR(G212&lt;'2014legmax.xls'!AZ212, (Weightings!G212-'2014legmax.xls'!AZ212)/'2014legmax.xls'!AZ212&gt;0.025))), "Confirm!", "")</f>
        <v/>
      </c>
    </row>
    <row r="213" spans="1:10">
      <c r="A213" s="54">
        <v>421</v>
      </c>
      <c r="B213" s="51">
        <v>529037</v>
      </c>
      <c r="D213" s="128" t="s">
        <v>505</v>
      </c>
      <c r="E213" s="35">
        <v>-9882</v>
      </c>
      <c r="F213" s="35"/>
      <c r="G213" s="35">
        <v>3210103</v>
      </c>
      <c r="H213" s="125">
        <v>18</v>
      </c>
      <c r="I213" s="129"/>
      <c r="J213" s="125" t="str">
        <f>IF(AND(G213&lt;&gt;"",(OR(G213&lt;'2014legmax.xls'!AZ213, (Weightings!G213-'2014legmax.xls'!AZ213)/'2014legmax.xls'!AZ213&gt;0.025))), "Confirm!", "")</f>
        <v/>
      </c>
    </row>
    <row r="214" spans="1:10">
      <c r="A214" s="54">
        <v>422</v>
      </c>
      <c r="B214" s="53">
        <v>289543</v>
      </c>
      <c r="D214" s="128" t="s">
        <v>506</v>
      </c>
      <c r="E214" s="35"/>
      <c r="F214" s="35"/>
      <c r="G214" s="35"/>
      <c r="H214" s="125"/>
      <c r="I214" s="129"/>
      <c r="J214" s="125" t="str">
        <f>IF(AND(G214&lt;&gt;"",(OR(G214&lt;'2014legmax.xls'!AZ214, (Weightings!G214-'2014legmax.xls'!AZ214)/'2014legmax.xls'!AZ214&gt;0.025))), "Confirm!", "")</f>
        <v/>
      </c>
    </row>
    <row r="215" spans="1:10">
      <c r="A215" s="54">
        <v>423</v>
      </c>
      <c r="B215" s="51">
        <v>412532</v>
      </c>
      <c r="D215" s="128" t="s">
        <v>507</v>
      </c>
      <c r="E215" s="35"/>
      <c r="F215" s="35"/>
      <c r="G215" s="35"/>
      <c r="H215" s="125"/>
      <c r="I215" s="129"/>
      <c r="J215" s="125" t="str">
        <f>IF(AND(G215&lt;&gt;"",(OR(G215&lt;'2014legmax.xls'!AZ215, (Weightings!G215-'2014legmax.xls'!AZ215)/'2014legmax.xls'!AZ215&gt;0.025))), "Confirm!", "")</f>
        <v/>
      </c>
    </row>
    <row r="216" spans="1:10">
      <c r="A216" s="54">
        <v>426</v>
      </c>
      <c r="B216" s="51">
        <v>291358</v>
      </c>
      <c r="D216" s="128" t="s">
        <v>508</v>
      </c>
      <c r="E216" s="35"/>
      <c r="F216" s="35"/>
      <c r="G216" s="35">
        <v>2013415</v>
      </c>
      <c r="H216" s="125">
        <v>31</v>
      </c>
      <c r="I216" s="129"/>
      <c r="J216" s="125" t="str">
        <f>IF(AND(G216&lt;&gt;"",(OR(G216&lt;'2014legmax.xls'!AZ216, (Weightings!G216-'2014legmax.xls'!AZ216)/'2014legmax.xls'!AZ216&gt;0.025))), "Confirm!", "")</f>
        <v>Confirm!</v>
      </c>
    </row>
    <row r="217" spans="1:10">
      <c r="A217" s="54">
        <v>428</v>
      </c>
      <c r="B217" s="51">
        <v>2088537</v>
      </c>
      <c r="D217" s="128" t="s">
        <v>509</v>
      </c>
      <c r="E217" s="35"/>
      <c r="F217" s="35"/>
      <c r="G217" s="35"/>
      <c r="H217" s="125"/>
      <c r="I217" s="129"/>
      <c r="J217" s="125" t="str">
        <f>IF(AND(G217&lt;&gt;"",(OR(G217&lt;'2014legmax.xls'!AZ217, (Weightings!G217-'2014legmax.xls'!AZ217)/'2014legmax.xls'!AZ217&gt;0.025))), "Confirm!", "")</f>
        <v/>
      </c>
    </row>
    <row r="218" spans="1:10">
      <c r="A218" s="54">
        <v>429</v>
      </c>
      <c r="B218" s="51">
        <v>338671</v>
      </c>
      <c r="D218" s="128" t="s">
        <v>510</v>
      </c>
      <c r="E218" s="35"/>
      <c r="F218" s="35"/>
      <c r="G218" s="35"/>
      <c r="H218" s="125"/>
      <c r="I218" s="129"/>
      <c r="J218" s="125" t="str">
        <f>IF(AND(G218&lt;&gt;"",(OR(G218&lt;'2014legmax.xls'!AZ218, (Weightings!G218-'2014legmax.xls'!AZ218)/'2014legmax.xls'!AZ218&gt;0.025))), "Confirm!", "")</f>
        <v/>
      </c>
    </row>
    <row r="219" spans="1:10">
      <c r="A219" s="54">
        <v>430</v>
      </c>
      <c r="B219" s="51">
        <v>830393</v>
      </c>
      <c r="D219" s="128" t="s">
        <v>511</v>
      </c>
      <c r="E219" s="35"/>
      <c r="F219" s="35"/>
      <c r="G219" s="35"/>
      <c r="H219" s="125"/>
      <c r="I219" s="129"/>
      <c r="J219" s="125" t="str">
        <f>IF(AND(G219&lt;&gt;"",(OR(G219&lt;'2014legmax.xls'!AZ219, (Weightings!G219-'2014legmax.xls'!AZ219)/'2014legmax.xls'!AZ219&gt;0.025))), "Confirm!", "")</f>
        <v/>
      </c>
    </row>
    <row r="220" spans="1:10">
      <c r="A220" s="54">
        <v>431</v>
      </c>
      <c r="B220" s="51">
        <v>573375</v>
      </c>
      <c r="D220" s="130" t="s">
        <v>512</v>
      </c>
      <c r="E220" s="35"/>
      <c r="F220" s="35"/>
      <c r="G220" s="35">
        <v>5090723</v>
      </c>
      <c r="H220" s="125"/>
      <c r="I220" s="129"/>
      <c r="J220" s="125" t="str">
        <f>IF(AND(G220&lt;&gt;"",(OR(G220&lt;'2014legmax.xls'!AZ220, (Weightings!G220-'2014legmax.xls'!AZ220)/'2014legmax.xls'!AZ220&gt;0.025))), "Confirm!", "")</f>
        <v>Confirm!</v>
      </c>
    </row>
    <row r="221" spans="1:10">
      <c r="A221" s="54">
        <v>432</v>
      </c>
      <c r="B221" s="51">
        <v>270667</v>
      </c>
      <c r="D221" s="128" t="s">
        <v>513</v>
      </c>
      <c r="E221" s="35"/>
      <c r="F221" s="35"/>
      <c r="G221" s="35">
        <v>2039513</v>
      </c>
      <c r="H221" s="125">
        <v>25</v>
      </c>
      <c r="I221" s="129"/>
      <c r="J221" s="125" t="str">
        <f>IF(AND(G221&lt;&gt;"",(OR(G221&lt;'2014legmax.xls'!AZ221, (Weightings!G221-'2014legmax.xls'!AZ221)/'2014legmax.xls'!AZ221&gt;0.025))), "Confirm!", "")</f>
        <v/>
      </c>
    </row>
    <row r="222" spans="1:10">
      <c r="A222" s="54">
        <v>434</v>
      </c>
      <c r="B222" s="51">
        <v>1411795</v>
      </c>
      <c r="D222" s="128" t="s">
        <v>514</v>
      </c>
      <c r="E222" s="35">
        <v>-2935</v>
      </c>
      <c r="F222" s="35"/>
      <c r="G222" s="35"/>
      <c r="H222" s="125">
        <v>24</v>
      </c>
      <c r="I222" s="129"/>
      <c r="J222" s="125" t="str">
        <f>IF(AND(G222&lt;&gt;"",(OR(G222&lt;'2014legmax.xls'!AZ222, (Weightings!G222-'2014legmax.xls'!AZ222)/'2014legmax.xls'!AZ222&gt;0.025))), "Confirm!", "")</f>
        <v/>
      </c>
    </row>
    <row r="223" spans="1:10">
      <c r="A223" s="54">
        <v>435</v>
      </c>
      <c r="B223" s="51">
        <v>1393535</v>
      </c>
      <c r="D223" s="128" t="s">
        <v>515</v>
      </c>
      <c r="E223" s="35"/>
      <c r="F223" s="35"/>
      <c r="G223" s="35"/>
      <c r="H223" s="125"/>
      <c r="I223" s="129"/>
      <c r="J223" s="125" t="str">
        <f>IF(AND(G223&lt;&gt;"",(OR(G223&lt;'2014legmax.xls'!AZ223, (Weightings!G223-'2014legmax.xls'!AZ223)/'2014legmax.xls'!AZ223&gt;0.025))), "Confirm!", "")</f>
        <v/>
      </c>
    </row>
    <row r="224" spans="1:10">
      <c r="A224" s="54">
        <v>436</v>
      </c>
      <c r="B224" s="51">
        <v>526930</v>
      </c>
      <c r="D224" s="128" t="s">
        <v>516</v>
      </c>
      <c r="E224" s="35"/>
      <c r="F224" s="35"/>
      <c r="G224" s="35"/>
      <c r="H224" s="125"/>
      <c r="I224" s="129"/>
      <c r="J224" s="125" t="str">
        <f>IF(AND(G224&lt;&gt;"",(OR(G224&lt;'2014legmax.xls'!AZ224, (Weightings!G224-'2014legmax.xls'!AZ224)/'2014legmax.xls'!AZ224&gt;0.025))), "Confirm!", "")</f>
        <v/>
      </c>
    </row>
    <row r="225" spans="1:10">
      <c r="A225" s="54">
        <v>437</v>
      </c>
      <c r="B225" s="51">
        <v>5497178</v>
      </c>
      <c r="D225" s="128" t="s">
        <v>517</v>
      </c>
      <c r="E225" s="35">
        <v>-8623</v>
      </c>
      <c r="F225" s="35"/>
      <c r="G225" s="35"/>
      <c r="H225" s="125">
        <v>10</v>
      </c>
      <c r="I225" s="129"/>
      <c r="J225" s="125" t="str">
        <f>IF(AND(G225&lt;&gt;"",(OR(G225&lt;'2014legmax.xls'!AZ225, (Weightings!G225-'2014legmax.xls'!AZ225)/'2014legmax.xls'!AZ225&gt;0.025))), "Confirm!", "")</f>
        <v/>
      </c>
    </row>
    <row r="226" spans="1:10">
      <c r="A226" s="54">
        <v>438</v>
      </c>
      <c r="B226" s="51">
        <v>415786</v>
      </c>
      <c r="D226" s="128" t="s">
        <v>518</v>
      </c>
      <c r="E226" s="35"/>
      <c r="F226" s="35"/>
      <c r="G226" s="35"/>
      <c r="H226" s="125"/>
      <c r="I226" s="129"/>
      <c r="J226" s="125" t="str">
        <f>IF(AND(G226&lt;&gt;"",(OR(G226&lt;'2014legmax.xls'!AZ226, (Weightings!G226-'2014legmax.xls'!AZ226)/'2014legmax.xls'!AZ226&gt;0.025))), "Confirm!", "")</f>
        <v/>
      </c>
    </row>
    <row r="227" spans="1:10">
      <c r="A227" s="54">
        <v>439</v>
      </c>
      <c r="B227" s="51">
        <v>453550</v>
      </c>
      <c r="D227" s="128" t="s">
        <v>519</v>
      </c>
      <c r="E227" s="35"/>
      <c r="F227" s="35"/>
      <c r="G227" s="35">
        <v>3758765</v>
      </c>
      <c r="H227" s="125">
        <v>21</v>
      </c>
      <c r="I227" s="129"/>
      <c r="J227" s="125" t="str">
        <f>IF(AND(G227&lt;&gt;"",(OR(G227&lt;'2014legmax.xls'!AZ227, (Weightings!G227-'2014legmax.xls'!AZ227)/'2014legmax.xls'!AZ227&gt;0.025))), "Confirm!", "")</f>
        <v>Confirm!</v>
      </c>
    </row>
    <row r="228" spans="1:10">
      <c r="A228" s="54">
        <v>440</v>
      </c>
      <c r="B228" s="51">
        <v>657735</v>
      </c>
      <c r="D228" s="128" t="s">
        <v>520</v>
      </c>
      <c r="E228" s="35"/>
      <c r="F228" s="35"/>
      <c r="G228" s="35"/>
      <c r="H228" s="125"/>
      <c r="I228" s="129"/>
      <c r="J228" s="125" t="str">
        <f>IF(AND(G228&lt;&gt;"",(OR(G228&lt;'2014legmax.xls'!AZ228, (Weightings!G228-'2014legmax.xls'!AZ228)/'2014legmax.xls'!AZ228&gt;0.025))), "Confirm!", "")</f>
        <v/>
      </c>
    </row>
    <row r="229" spans="1:10">
      <c r="A229" s="54">
        <v>443</v>
      </c>
      <c r="B229" s="51">
        <v>4812211</v>
      </c>
      <c r="D229" s="128" t="s">
        <v>521</v>
      </c>
      <c r="E229" s="35"/>
      <c r="F229" s="35"/>
      <c r="G229" s="35">
        <v>46050143</v>
      </c>
      <c r="H229" s="125">
        <v>31</v>
      </c>
      <c r="I229" s="129"/>
      <c r="J229" s="125" t="str">
        <f>IF(AND(G229&lt;&gt;"",(OR(G229&lt;'2014legmax.xls'!AZ229, (Weightings!G229-'2014legmax.xls'!AZ229)/'2014legmax.xls'!AZ229&gt;0.025))), "Confirm!", "")</f>
        <v/>
      </c>
    </row>
    <row r="230" spans="1:10">
      <c r="A230" s="54">
        <v>444</v>
      </c>
      <c r="B230" s="51">
        <v>348040</v>
      </c>
      <c r="D230" s="128" t="s">
        <v>522</v>
      </c>
      <c r="E230" s="35"/>
      <c r="F230" s="35"/>
      <c r="G230" s="35"/>
      <c r="H230" s="125"/>
      <c r="I230" s="129"/>
      <c r="J230" s="125" t="str">
        <f>IF(AND(G230&lt;&gt;"",(OR(G230&lt;'2014legmax.xls'!AZ230, (Weightings!G230-'2014legmax.xls'!AZ230)/'2014legmax.xls'!AZ230&gt;0.025))), "Confirm!", "")</f>
        <v/>
      </c>
    </row>
    <row r="231" spans="1:10">
      <c r="A231" s="54">
        <v>445</v>
      </c>
      <c r="B231" s="51">
        <v>1548644</v>
      </c>
      <c r="D231" s="128" t="s">
        <v>523</v>
      </c>
      <c r="E231" s="35"/>
      <c r="F231" s="35"/>
      <c r="G231" s="35"/>
      <c r="H231" s="125"/>
      <c r="I231" s="129"/>
      <c r="J231" s="125" t="str">
        <f>IF(AND(G231&lt;&gt;"",(OR(G231&lt;'2014legmax.xls'!AZ231, (Weightings!G231-'2014legmax.xls'!AZ231)/'2014legmax.xls'!AZ231&gt;0.025))), "Confirm!", "")</f>
        <v/>
      </c>
    </row>
    <row r="232" spans="1:10">
      <c r="A232" s="54">
        <v>446</v>
      </c>
      <c r="B232" s="51">
        <v>1410849</v>
      </c>
      <c r="D232" s="128" t="s">
        <v>524</v>
      </c>
      <c r="E232" s="35"/>
      <c r="F232" s="35"/>
      <c r="G232" s="35"/>
      <c r="H232" s="125"/>
      <c r="I232" s="129"/>
      <c r="J232" s="125" t="str">
        <f>IF(AND(G232&lt;&gt;"",(OR(G232&lt;'2014legmax.xls'!AZ232, (Weightings!G232-'2014legmax.xls'!AZ232)/'2014legmax.xls'!AZ232&gt;0.025))), "Confirm!", "")</f>
        <v/>
      </c>
    </row>
    <row r="233" spans="1:10">
      <c r="A233" s="54">
        <v>447</v>
      </c>
      <c r="B233" s="51">
        <v>609546</v>
      </c>
      <c r="D233" s="128" t="s">
        <v>525</v>
      </c>
      <c r="E233" s="35"/>
      <c r="F233" s="35"/>
      <c r="G233" s="35"/>
      <c r="H233" s="125"/>
      <c r="I233" s="129"/>
      <c r="J233" s="125" t="str">
        <f>IF(AND(G233&lt;&gt;"",(OR(G233&lt;'2014legmax.xls'!AZ233, (Weightings!G233-'2014legmax.xls'!AZ233)/'2014legmax.xls'!AZ233&gt;0.025))), "Confirm!", "")</f>
        <v/>
      </c>
    </row>
    <row r="234" spans="1:10">
      <c r="A234" s="54">
        <v>448</v>
      </c>
      <c r="B234" s="51">
        <v>403182</v>
      </c>
      <c r="D234" s="128" t="s">
        <v>526</v>
      </c>
      <c r="E234" s="35"/>
      <c r="F234" s="35"/>
      <c r="G234" s="35">
        <v>3178249</v>
      </c>
      <c r="H234" s="125">
        <v>16</v>
      </c>
      <c r="I234" s="129"/>
      <c r="J234" s="125" t="str">
        <f>IF(AND(G234&lt;&gt;"",(OR(G234&lt;'2014legmax.xls'!AZ234, (Weightings!G234-'2014legmax.xls'!AZ234)/'2014legmax.xls'!AZ234&gt;0.025))), "Confirm!", "")</f>
        <v/>
      </c>
    </row>
    <row r="235" spans="1:10">
      <c r="A235" s="54">
        <v>449</v>
      </c>
      <c r="B235" s="51">
        <v>742094</v>
      </c>
      <c r="D235" s="128" t="s">
        <v>527</v>
      </c>
      <c r="E235" s="35">
        <v>-5225</v>
      </c>
      <c r="F235" s="35"/>
      <c r="G235" s="35"/>
      <c r="H235" s="125"/>
      <c r="I235" s="129"/>
      <c r="J235" s="125" t="str">
        <f>IF(AND(G235&lt;&gt;"",(OR(G235&lt;'2014legmax.xls'!AZ235, (Weightings!G235-'2014legmax.xls'!AZ235)/'2014legmax.xls'!AZ235&gt;0.025))), "Confirm!", "")</f>
        <v/>
      </c>
    </row>
    <row r="236" spans="1:10">
      <c r="A236" s="54">
        <v>450</v>
      </c>
      <c r="B236" s="51">
        <v>3011455</v>
      </c>
      <c r="D236" s="128" t="s">
        <v>528</v>
      </c>
      <c r="E236" s="35">
        <v>-575</v>
      </c>
      <c r="F236" s="35"/>
      <c r="G236" s="35"/>
      <c r="H236" s="125">
        <v>12</v>
      </c>
      <c r="I236" s="129" t="s">
        <v>2</v>
      </c>
      <c r="J236" s="125" t="str">
        <f>IF(AND(G236&lt;&gt;"",(OR(G236&lt;'2014legmax.xls'!AZ236, (Weightings!G236-'2014legmax.xls'!AZ236)/'2014legmax.xls'!AZ236&gt;0.025))), "Confirm!", "")</f>
        <v/>
      </c>
    </row>
    <row r="237" spans="1:10">
      <c r="A237" s="54">
        <v>452</v>
      </c>
      <c r="B237" s="51">
        <v>289235</v>
      </c>
      <c r="D237" s="128" t="s">
        <v>529</v>
      </c>
      <c r="E237" s="35"/>
      <c r="F237" s="35"/>
      <c r="G237" s="35"/>
      <c r="H237" s="125"/>
      <c r="I237" s="129"/>
      <c r="J237" s="125" t="str">
        <f>IF(AND(G237&lt;&gt;"",(OR(G237&lt;'2014legmax.xls'!AZ237, (Weightings!G237-'2014legmax.xls'!AZ237)/'2014legmax.xls'!AZ237&gt;0.025))), "Confirm!", "")</f>
        <v/>
      </c>
    </row>
    <row r="238" spans="1:10">
      <c r="A238" s="54">
        <v>453</v>
      </c>
      <c r="B238" s="51">
        <v>3833833</v>
      </c>
      <c r="D238" s="128" t="s">
        <v>530</v>
      </c>
      <c r="E238" s="35">
        <v>-2876</v>
      </c>
      <c r="F238" s="35"/>
      <c r="G238" s="35"/>
      <c r="H238" s="125"/>
      <c r="I238" s="129"/>
      <c r="J238" s="125" t="str">
        <f>IF(AND(G238&lt;&gt;"",(OR(G238&lt;'2014legmax.xls'!AZ238, (Weightings!G238-'2014legmax.xls'!AZ238)/'2014legmax.xls'!AZ238&gt;0.025))), "Confirm!", "")</f>
        <v/>
      </c>
    </row>
    <row r="239" spans="1:10">
      <c r="A239" s="54">
        <v>454</v>
      </c>
      <c r="B239" s="51">
        <v>386535</v>
      </c>
      <c r="D239" s="128" t="s">
        <v>531</v>
      </c>
      <c r="E239" s="35"/>
      <c r="F239" s="35"/>
      <c r="G239" s="35"/>
      <c r="H239" s="125"/>
      <c r="I239" s="129"/>
      <c r="J239" s="125" t="str">
        <f>IF(AND(G239&lt;&gt;"",(OR(G239&lt;'2014legmax.xls'!AZ239, (Weightings!G239-'2014legmax.xls'!AZ239)/'2014legmax.xls'!AZ239&gt;0.025))), "Confirm!", "")</f>
        <v/>
      </c>
    </row>
    <row r="240" spans="1:10">
      <c r="A240" s="54">
        <v>456</v>
      </c>
      <c r="B240" s="51">
        <v>341448</v>
      </c>
      <c r="D240" s="128" t="s">
        <v>532</v>
      </c>
      <c r="E240" s="35"/>
      <c r="F240" s="35"/>
      <c r="G240" s="35"/>
      <c r="H240" s="125"/>
      <c r="I240" s="129"/>
      <c r="J240" s="125" t="str">
        <f>IF(AND(G240&lt;&gt;"",(OR(G240&lt;'2014legmax.xls'!AZ240, (Weightings!G240-'2014legmax.xls'!AZ240)/'2014legmax.xls'!AZ240&gt;0.025))), "Confirm!", "")</f>
        <v/>
      </c>
    </row>
    <row r="241" spans="1:10">
      <c r="A241" s="54">
        <v>457</v>
      </c>
      <c r="B241" s="51">
        <v>5361952</v>
      </c>
      <c r="D241" s="128" t="s">
        <v>533</v>
      </c>
      <c r="E241" s="35"/>
      <c r="F241" s="35"/>
      <c r="G241" s="35"/>
      <c r="H241" s="125"/>
      <c r="I241" s="129"/>
      <c r="J241" s="125" t="str">
        <f>IF(AND(G241&lt;&gt;"",(OR(G241&lt;'2014legmax.xls'!AZ241, (Weightings!G241-'2014legmax.xls'!AZ241)/'2014legmax.xls'!AZ241&gt;0.025))), "Confirm!", "")</f>
        <v/>
      </c>
    </row>
    <row r="242" spans="1:10">
      <c r="A242" s="54">
        <v>458</v>
      </c>
      <c r="B242" s="51">
        <v>1552609</v>
      </c>
      <c r="D242" s="128" t="s">
        <v>534</v>
      </c>
      <c r="E242" s="35">
        <v>-8623</v>
      </c>
      <c r="F242" s="35"/>
      <c r="G242" s="35">
        <v>12274691</v>
      </c>
      <c r="H242" s="125">
        <v>23</v>
      </c>
      <c r="I242" s="129"/>
      <c r="J242" s="125" t="str">
        <f>IF(AND(G242&lt;&gt;"",(OR(G242&lt;'2014legmax.xls'!AZ242, (Weightings!G242-'2014legmax.xls'!AZ242)/'2014legmax.xls'!AZ242&gt;0.025))), "Confirm!", "")</f>
        <v/>
      </c>
    </row>
    <row r="243" spans="1:10">
      <c r="A243" s="54">
        <v>459</v>
      </c>
      <c r="B243" s="51">
        <v>197927</v>
      </c>
      <c r="D243" s="128" t="s">
        <v>535</v>
      </c>
      <c r="E243" s="35"/>
      <c r="F243" s="35"/>
      <c r="G243" s="35"/>
      <c r="H243" s="125"/>
      <c r="I243" s="129"/>
      <c r="J243" s="125" t="str">
        <f>IF(AND(G243&lt;&gt;"",(OR(G243&lt;'2014legmax.xls'!AZ243, (Weightings!G243-'2014legmax.xls'!AZ243)/'2014legmax.xls'!AZ243&gt;0.025))), "Confirm!", "")</f>
        <v/>
      </c>
    </row>
    <row r="244" spans="1:10">
      <c r="A244" s="54">
        <v>460</v>
      </c>
      <c r="B244" s="51">
        <v>642823</v>
      </c>
      <c r="D244" s="128" t="s">
        <v>536</v>
      </c>
      <c r="E244" s="35"/>
      <c r="F244" s="35"/>
      <c r="G244" s="35"/>
      <c r="H244" s="125"/>
      <c r="I244" s="129"/>
      <c r="J244" s="125" t="str">
        <f>IF(AND(G244&lt;&gt;"",(OR(G244&lt;'2014legmax.xls'!AZ244, (Weightings!G244-'2014legmax.xls'!AZ244)/'2014legmax.xls'!AZ244&gt;0.025))), "Confirm!", "")</f>
        <v/>
      </c>
    </row>
    <row r="245" spans="1:10">
      <c r="A245" s="54">
        <v>461</v>
      </c>
      <c r="B245" s="51">
        <v>589497</v>
      </c>
      <c r="D245" s="128" t="s">
        <v>537</v>
      </c>
      <c r="E245" s="35">
        <v>-2141</v>
      </c>
      <c r="F245" s="35"/>
      <c r="G245" s="35"/>
      <c r="H245" s="125">
        <v>15</v>
      </c>
      <c r="I245" s="129"/>
      <c r="J245" s="125" t="str">
        <f>IF(AND(G245&lt;&gt;"",(OR(G245&lt;'2014legmax.xls'!AZ245, (Weightings!G245-'2014legmax.xls'!AZ245)/'2014legmax.xls'!AZ245&gt;0.025))), "Confirm!", "")</f>
        <v/>
      </c>
    </row>
    <row r="246" spans="1:10">
      <c r="A246" s="54">
        <v>462</v>
      </c>
      <c r="B246" s="51">
        <v>308722</v>
      </c>
      <c r="D246" s="128" t="s">
        <v>538</v>
      </c>
      <c r="E246" s="35"/>
      <c r="F246" s="35"/>
      <c r="G246" s="35"/>
      <c r="H246" s="125"/>
      <c r="I246" s="129"/>
      <c r="J246" s="125" t="str">
        <f>IF(AND(G246&lt;&gt;"",(OR(G246&lt;'2014legmax.xls'!AZ246, (Weightings!G246-'2014legmax.xls'!AZ246)/'2014legmax.xls'!AZ246&gt;0.025))), "Confirm!", "")</f>
        <v/>
      </c>
    </row>
    <row r="247" spans="1:10">
      <c r="A247" s="54">
        <v>463</v>
      </c>
      <c r="B247" s="51">
        <v>371593</v>
      </c>
      <c r="D247" s="128" t="s">
        <v>539</v>
      </c>
      <c r="E247" s="35"/>
      <c r="F247" s="35"/>
      <c r="G247" s="35">
        <v>2760290</v>
      </c>
      <c r="H247" s="125">
        <v>26</v>
      </c>
      <c r="I247" s="129"/>
      <c r="J247" s="125" t="str">
        <f>IF(AND(G247&lt;&gt;"",(OR(G247&lt;'2014legmax.xls'!AZ247, (Weightings!G247-'2014legmax.xls'!AZ247)/'2014legmax.xls'!AZ247&gt;0.025))), "Confirm!", "")</f>
        <v/>
      </c>
    </row>
    <row r="248" spans="1:10">
      <c r="A248" s="54">
        <v>464</v>
      </c>
      <c r="B248" s="51">
        <v>1347372</v>
      </c>
      <c r="D248" s="128" t="s">
        <v>540</v>
      </c>
      <c r="E248" s="35"/>
      <c r="F248" s="35"/>
      <c r="G248" s="35"/>
      <c r="H248" s="125"/>
      <c r="I248" s="129"/>
      <c r="J248" s="125" t="str">
        <f>IF(AND(G248&lt;&gt;"",(OR(G248&lt;'2014legmax.xls'!AZ248, (Weightings!G248-'2014legmax.xls'!AZ248)/'2014legmax.xls'!AZ248&gt;0.025))), "Confirm!", "")</f>
        <v/>
      </c>
    </row>
    <row r="249" spans="1:10">
      <c r="A249" s="54">
        <v>465</v>
      </c>
      <c r="B249" s="51">
        <v>2187665</v>
      </c>
      <c r="D249" s="128" t="s">
        <v>541</v>
      </c>
      <c r="E249" s="35">
        <v>-830</v>
      </c>
      <c r="F249" s="35"/>
      <c r="G249" s="35"/>
      <c r="H249" s="125">
        <v>24</v>
      </c>
      <c r="I249" s="129"/>
      <c r="J249" s="125" t="str">
        <f>IF(AND(G249&lt;&gt;"",(OR(G249&lt;'2014legmax.xls'!AZ249, (Weightings!G249-'2014legmax.xls'!AZ249)/'2014legmax.xls'!AZ249&gt;0.025))), "Confirm!", "")</f>
        <v/>
      </c>
    </row>
    <row r="250" spans="1:10">
      <c r="A250" s="54">
        <v>466</v>
      </c>
      <c r="B250" s="51">
        <v>535429</v>
      </c>
      <c r="D250" s="128" t="s">
        <v>542</v>
      </c>
      <c r="E250" s="35"/>
      <c r="F250" s="35"/>
      <c r="G250" s="35"/>
      <c r="H250" s="125"/>
      <c r="I250" s="129"/>
      <c r="J250" s="125" t="str">
        <f>IF(AND(G250&lt;&gt;"",(OR(G250&lt;'2014legmax.xls'!AZ250, (Weightings!G250-'2014legmax.xls'!AZ250)/'2014legmax.xls'!AZ250&gt;0.025))), "Confirm!", "")</f>
        <v/>
      </c>
    </row>
    <row r="251" spans="1:10">
      <c r="A251" s="54">
        <v>467</v>
      </c>
      <c r="B251" s="51">
        <v>278906</v>
      </c>
      <c r="D251" s="128" t="s">
        <v>543</v>
      </c>
      <c r="E251" s="35"/>
      <c r="F251" s="35"/>
      <c r="G251" s="35">
        <v>3211255</v>
      </c>
      <c r="H251" s="125">
        <v>25</v>
      </c>
      <c r="I251" s="129"/>
      <c r="J251" s="125" t="str">
        <f>IF(AND(G251&lt;&gt;"",(OR(G251&lt;'2014legmax.xls'!AZ251, (Weightings!G251-'2014legmax.xls'!AZ251)/'2014legmax.xls'!AZ251&gt;0.025))), "Confirm!", "")</f>
        <v/>
      </c>
    </row>
    <row r="252" spans="1:10">
      <c r="A252" s="54">
        <v>468</v>
      </c>
      <c r="B252" s="51">
        <v>115125</v>
      </c>
      <c r="D252" s="128" t="s">
        <v>544</v>
      </c>
      <c r="E252" s="35"/>
      <c r="F252" s="35"/>
      <c r="G252" s="35">
        <v>924958</v>
      </c>
      <c r="H252" s="125">
        <v>31</v>
      </c>
      <c r="I252" s="129"/>
      <c r="J252" s="125" t="str">
        <f>IF(AND(G252&lt;&gt;"",(OR(G252&lt;'2014legmax.xls'!AZ252, (Weightings!G252-'2014legmax.xls'!AZ252)/'2014legmax.xls'!AZ252&gt;0.025))), "Confirm!", "")</f>
        <v>Confirm!</v>
      </c>
    </row>
    <row r="253" spans="1:10">
      <c r="A253" s="54">
        <v>469</v>
      </c>
      <c r="B253" s="51">
        <v>1716493</v>
      </c>
      <c r="D253" s="128" t="s">
        <v>545</v>
      </c>
      <c r="E253" s="35">
        <v>-5295</v>
      </c>
      <c r="F253" s="35"/>
      <c r="G253" s="35"/>
      <c r="H253" s="125">
        <v>24</v>
      </c>
      <c r="I253" s="129"/>
      <c r="J253" s="125" t="str">
        <f>IF(AND(G253&lt;&gt;"",(OR(G253&lt;'2014legmax.xls'!AZ253, (Weightings!G253-'2014legmax.xls'!AZ253)/'2014legmax.xls'!AZ253&gt;0.025))), "Confirm!", "")</f>
        <v/>
      </c>
    </row>
    <row r="254" spans="1:10">
      <c r="A254" s="54">
        <v>470</v>
      </c>
      <c r="B254" s="51">
        <v>2403951</v>
      </c>
      <c r="D254" s="128" t="s">
        <v>546</v>
      </c>
      <c r="E254" s="35"/>
      <c r="F254" s="35"/>
      <c r="G254" s="35"/>
      <c r="H254" s="125"/>
      <c r="I254" s="129"/>
      <c r="J254" s="125" t="str">
        <f>IF(AND(G254&lt;&gt;"",(OR(G254&lt;'2014legmax.xls'!AZ254, (Weightings!G254-'2014legmax.xls'!AZ254)/'2014legmax.xls'!AZ254&gt;0.025))), "Confirm!", "")</f>
        <v/>
      </c>
    </row>
    <row r="255" spans="1:10">
      <c r="A255" s="54">
        <v>471</v>
      </c>
      <c r="B255" s="51">
        <v>182014</v>
      </c>
      <c r="D255" s="128" t="s">
        <v>547</v>
      </c>
      <c r="E255" s="35"/>
      <c r="F255" s="35"/>
      <c r="G255" s="35">
        <v>1570126</v>
      </c>
      <c r="H255" s="125">
        <v>23</v>
      </c>
      <c r="I255" s="129"/>
      <c r="J255" s="125" t="str">
        <f>IF(AND(G255&lt;&gt;"",(OR(G255&lt;'2014legmax.xls'!AZ255, (Weightings!G255-'2014legmax.xls'!AZ255)/'2014legmax.xls'!AZ255&gt;0.025))), "Confirm!", "")</f>
        <v>Confirm!</v>
      </c>
    </row>
    <row r="256" spans="1:10">
      <c r="A256" s="54">
        <v>473</v>
      </c>
      <c r="B256" s="51">
        <v>852264</v>
      </c>
      <c r="D256" s="128" t="s">
        <v>548</v>
      </c>
      <c r="E256" s="35"/>
      <c r="F256" s="35"/>
      <c r="G256" s="35">
        <v>7459921</v>
      </c>
      <c r="H256" s="125">
        <v>23</v>
      </c>
      <c r="I256" s="129"/>
      <c r="J256" s="125" t="str">
        <f>IF(AND(G256&lt;&gt;"",(OR(G256&lt;'2014legmax.xls'!AZ256, (Weightings!G256-'2014legmax.xls'!AZ256)/'2014legmax.xls'!AZ256&gt;0.025))), "Confirm!", "")</f>
        <v>Confirm!</v>
      </c>
    </row>
    <row r="257" spans="1:10">
      <c r="A257" s="54">
        <v>474</v>
      </c>
      <c r="B257" s="51">
        <v>163745</v>
      </c>
      <c r="D257" s="128" t="s">
        <v>549</v>
      </c>
      <c r="E257" s="35"/>
      <c r="F257" s="35"/>
      <c r="G257" s="35"/>
      <c r="H257" s="125"/>
      <c r="I257" s="129"/>
      <c r="J257" s="125" t="str">
        <f>IF(AND(G257&lt;&gt;"",(OR(G257&lt;'2014legmax.xls'!AZ257, (Weightings!G257-'2014legmax.xls'!AZ257)/'2014legmax.xls'!AZ257&gt;0.025))), "Confirm!", "")</f>
        <v/>
      </c>
    </row>
    <row r="258" spans="1:10">
      <c r="A258" s="54">
        <v>475</v>
      </c>
      <c r="B258" s="51">
        <v>6169799</v>
      </c>
      <c r="D258" s="128" t="s">
        <v>550</v>
      </c>
      <c r="E258" s="35">
        <v>-8153</v>
      </c>
      <c r="F258" s="35"/>
      <c r="G258" s="35">
        <v>52000000</v>
      </c>
      <c r="H258" s="125">
        <v>26</v>
      </c>
      <c r="I258" s="129"/>
      <c r="J258" s="125" t="str">
        <f>IF(AND(G258&lt;&gt;"",(OR(G258&lt;'2014legmax.xls'!AZ258, (Weightings!G258-'2014legmax.xls'!AZ258)/'2014legmax.xls'!AZ258&gt;0.025))), "Confirm!", "")</f>
        <v/>
      </c>
    </row>
    <row r="259" spans="1:10">
      <c r="A259" s="54">
        <v>476</v>
      </c>
      <c r="B259" s="51">
        <v>102150</v>
      </c>
      <c r="D259" s="128" t="s">
        <v>551</v>
      </c>
      <c r="E259" s="35"/>
      <c r="F259" s="35"/>
      <c r="G259" s="35"/>
      <c r="H259" s="125"/>
      <c r="I259" s="129"/>
      <c r="J259" s="125" t="str">
        <f>IF(AND(G259&lt;&gt;"",(OR(G259&lt;'2014legmax.xls'!AZ259, (Weightings!G259-'2014legmax.xls'!AZ259)/'2014legmax.xls'!AZ259&gt;0.025))), "Confirm!", "")</f>
        <v/>
      </c>
    </row>
    <row r="260" spans="1:10">
      <c r="A260" s="54">
        <v>477</v>
      </c>
      <c r="B260" s="51">
        <v>207959</v>
      </c>
      <c r="D260" s="128" t="s">
        <v>552</v>
      </c>
      <c r="E260" s="35"/>
      <c r="F260" s="35"/>
      <c r="G260" s="35"/>
      <c r="H260" s="125"/>
      <c r="I260" s="129"/>
      <c r="J260" s="125" t="str">
        <f>IF(AND(G260&lt;&gt;"",(OR(G260&lt;'2014legmax.xls'!AZ260, (Weightings!G260-'2014legmax.xls'!AZ260)/'2014legmax.xls'!AZ260&gt;0.025))), "Confirm!", "")</f>
        <v/>
      </c>
    </row>
    <row r="261" spans="1:10">
      <c r="A261" s="54">
        <v>479</v>
      </c>
      <c r="B261" s="51">
        <v>308637</v>
      </c>
      <c r="D261" s="128" t="s">
        <v>553</v>
      </c>
      <c r="E261" s="35"/>
      <c r="F261" s="35"/>
      <c r="G261" s="35"/>
      <c r="H261" s="125"/>
      <c r="I261" s="129"/>
      <c r="J261" s="125" t="str">
        <f>IF(AND(G261&lt;&gt;"",(OR(G261&lt;'2014legmax.xls'!AZ261, (Weightings!G261-'2014legmax.xls'!AZ261)/'2014legmax.xls'!AZ261&gt;0.025))), "Confirm!", "")</f>
        <v/>
      </c>
    </row>
    <row r="262" spans="1:10">
      <c r="A262" s="54">
        <v>480</v>
      </c>
      <c r="B262" s="51">
        <v>2081006</v>
      </c>
      <c r="D262" s="128" t="s">
        <v>554</v>
      </c>
      <c r="E262" s="35">
        <v>-2096</v>
      </c>
      <c r="F262" s="35"/>
      <c r="G262" s="35">
        <v>31169549</v>
      </c>
      <c r="H262" s="125">
        <v>16</v>
      </c>
      <c r="I262" s="129"/>
      <c r="J262" s="125" t="str">
        <f>IF(AND(G262&lt;&gt;"",(OR(G262&lt;'2014legmax.xls'!AZ262, (Weightings!G262-'2014legmax.xls'!AZ262)/'2014legmax.xls'!AZ262&gt;0.025))), "Confirm!", "")</f>
        <v/>
      </c>
    </row>
    <row r="263" spans="1:10">
      <c r="A263" s="54">
        <v>481</v>
      </c>
      <c r="B263" s="51">
        <v>401024</v>
      </c>
      <c r="D263" s="128" t="s">
        <v>555</v>
      </c>
      <c r="E263" s="35"/>
      <c r="F263" s="35"/>
      <c r="G263" s="35">
        <v>2679692</v>
      </c>
      <c r="H263" s="125">
        <v>20</v>
      </c>
      <c r="I263" s="129"/>
      <c r="J263" s="125" t="str">
        <f>IF(AND(G263&lt;&gt;"",(OR(G263&lt;'2014legmax.xls'!AZ263, (Weightings!G263-'2014legmax.xls'!AZ263)/'2014legmax.xls'!AZ263&gt;0.025))), "Confirm!", "")</f>
        <v/>
      </c>
    </row>
    <row r="264" spans="1:10">
      <c r="A264" s="54">
        <v>482</v>
      </c>
      <c r="B264" s="51">
        <v>205278</v>
      </c>
      <c r="D264" s="128" t="s">
        <v>556</v>
      </c>
      <c r="E264" s="35"/>
      <c r="F264" s="35"/>
      <c r="G264" s="35">
        <v>1994992</v>
      </c>
      <c r="H264" s="125"/>
      <c r="I264" s="129"/>
      <c r="J264" s="125" t="str">
        <f>IF(AND(G264&lt;&gt;"",(OR(G264&lt;'2014legmax.xls'!AZ264, (Weightings!G264-'2014legmax.xls'!AZ264)/'2014legmax.xls'!AZ264&gt;0.025))), "Confirm!", "")</f>
        <v>Confirm!</v>
      </c>
    </row>
    <row r="265" spans="1:10">
      <c r="A265" s="54">
        <v>483</v>
      </c>
      <c r="B265" s="51">
        <v>599845</v>
      </c>
      <c r="D265" s="128" t="s">
        <v>557</v>
      </c>
      <c r="E265" s="35"/>
      <c r="F265" s="35"/>
      <c r="G265" s="35"/>
      <c r="H265" s="125"/>
      <c r="I265" s="129"/>
      <c r="J265" s="125" t="str">
        <f>IF(AND(G265&lt;&gt;"",(OR(G265&lt;'2014legmax.xls'!AZ265, (Weightings!G265-'2014legmax.xls'!AZ265)/'2014legmax.xls'!AZ265&gt;0.025))), "Confirm!", "")</f>
        <v/>
      </c>
    </row>
    <row r="266" spans="1:10">
      <c r="A266" s="54">
        <v>484</v>
      </c>
      <c r="B266" s="51">
        <v>658732</v>
      </c>
      <c r="D266" s="128" t="s">
        <v>558</v>
      </c>
      <c r="E266" s="35">
        <v>-1141</v>
      </c>
      <c r="F266" s="35"/>
      <c r="G266" s="35"/>
      <c r="H266" s="125">
        <v>24</v>
      </c>
      <c r="I266" s="129"/>
      <c r="J266" s="125" t="str">
        <f>IF(AND(G266&lt;&gt;"",(OR(G266&lt;'2014legmax.xls'!AZ266, (Weightings!G266-'2014legmax.xls'!AZ266)/'2014legmax.xls'!AZ266&gt;0.025))), "Confirm!", "")</f>
        <v/>
      </c>
    </row>
    <row r="267" spans="1:10">
      <c r="A267" s="54">
        <v>487</v>
      </c>
      <c r="B267" s="51">
        <v>463854</v>
      </c>
      <c r="D267" s="128" t="s">
        <v>559</v>
      </c>
      <c r="E267" s="35"/>
      <c r="F267" s="35"/>
      <c r="G267" s="35"/>
      <c r="H267" s="125"/>
      <c r="I267" s="129"/>
      <c r="J267" s="125" t="str">
        <f>IF(AND(G267&lt;&gt;"",(OR(G267&lt;'2014legmax.xls'!AZ267, (Weightings!G267-'2014legmax.xls'!AZ267)/'2014legmax.xls'!AZ267&gt;0.025))), "Confirm!", "")</f>
        <v/>
      </c>
    </row>
    <row r="268" spans="1:10">
      <c r="A268" s="54">
        <v>489</v>
      </c>
      <c r="B268" s="51">
        <v>3138412</v>
      </c>
      <c r="D268" s="128" t="s">
        <v>560</v>
      </c>
      <c r="E268" s="35"/>
      <c r="F268" s="35"/>
      <c r="G268" s="35"/>
      <c r="H268" s="125"/>
      <c r="I268" s="129"/>
      <c r="J268" s="125" t="str">
        <f>IF(AND(G268&lt;&gt;"",(OR(G268&lt;'2014legmax.xls'!AZ268, (Weightings!G268-'2014legmax.xls'!AZ268)/'2014legmax.xls'!AZ268&gt;0.025))), "Confirm!", "")</f>
        <v/>
      </c>
    </row>
    <row r="269" spans="1:10">
      <c r="A269" s="54">
        <v>490</v>
      </c>
      <c r="B269" s="51">
        <v>1883402</v>
      </c>
      <c r="D269" s="128" t="s">
        <v>561</v>
      </c>
      <c r="E269" s="35"/>
      <c r="F269" s="35"/>
      <c r="G269" s="35">
        <v>11866712</v>
      </c>
      <c r="H269" s="125"/>
      <c r="I269" s="129"/>
      <c r="J269" s="125" t="str">
        <f>IF(AND(G269&lt;&gt;"",(OR(G269&lt;'2014legmax.xls'!AZ269, (Weightings!G269-'2014legmax.xls'!AZ269)/'2014legmax.xls'!AZ269&gt;0.025))), "Confirm!", "")</f>
        <v/>
      </c>
    </row>
    <row r="270" spans="1:10">
      <c r="A270" s="54">
        <v>491</v>
      </c>
      <c r="B270" s="51">
        <v>1227861</v>
      </c>
      <c r="D270" s="128" t="s">
        <v>562</v>
      </c>
      <c r="E270" s="35"/>
      <c r="F270" s="35"/>
      <c r="G270" s="35"/>
      <c r="H270" s="125"/>
      <c r="I270" s="129"/>
      <c r="J270" s="125" t="str">
        <f>IF(AND(G270&lt;&gt;"",(OR(G270&lt;'2014legmax.xls'!AZ270, (Weightings!G270-'2014legmax.xls'!AZ270)/'2014legmax.xls'!AZ270&gt;0.025))), "Confirm!", "")</f>
        <v/>
      </c>
    </row>
    <row r="271" spans="1:10">
      <c r="A271" s="54">
        <v>492</v>
      </c>
      <c r="B271" s="51">
        <v>293427</v>
      </c>
      <c r="D271" s="128" t="s">
        <v>563</v>
      </c>
      <c r="E271" s="35"/>
      <c r="F271" s="35"/>
      <c r="G271" s="35"/>
      <c r="H271" s="125"/>
      <c r="I271" s="129"/>
      <c r="J271" s="125" t="str">
        <f>IF(AND(G271&lt;&gt;"",(OR(G271&lt;'2014legmax.xls'!AZ271, (Weightings!G271-'2014legmax.xls'!AZ271)/'2014legmax.xls'!AZ271&gt;0.025))), "Confirm!", "")</f>
        <v/>
      </c>
    </row>
    <row r="272" spans="1:10">
      <c r="A272" s="54">
        <v>493</v>
      </c>
      <c r="B272" s="51">
        <v>1047175</v>
      </c>
      <c r="D272" s="128" t="s">
        <v>564</v>
      </c>
      <c r="E272" s="35">
        <v>-1986</v>
      </c>
      <c r="F272" s="35"/>
      <c r="G272" s="35"/>
      <c r="H272" s="125">
        <v>1</v>
      </c>
      <c r="I272" s="129"/>
      <c r="J272" s="125" t="str">
        <f>IF(AND(G272&lt;&gt;"",(OR(G272&lt;'2014legmax.xls'!AZ272, (Weightings!G272-'2014legmax.xls'!AZ272)/'2014legmax.xls'!AZ272&gt;0.025))), "Confirm!", "")</f>
        <v/>
      </c>
    </row>
    <row r="273" spans="1:10">
      <c r="A273" s="54">
        <v>494</v>
      </c>
      <c r="B273" s="51">
        <v>297844</v>
      </c>
      <c r="D273" s="128" t="s">
        <v>565</v>
      </c>
      <c r="E273" s="35"/>
      <c r="F273" s="35"/>
      <c r="G273" s="35"/>
      <c r="H273" s="125"/>
      <c r="I273" s="129"/>
      <c r="J273" s="125" t="str">
        <f>IF(AND(G273&lt;&gt;"",(OR(G273&lt;'2014legmax.xls'!AZ273, (Weightings!G273-'2014legmax.xls'!AZ273)/'2014legmax.xls'!AZ273&gt;0.025))), "Confirm!", "")</f>
        <v/>
      </c>
    </row>
    <row r="274" spans="1:10">
      <c r="A274" s="54">
        <v>495</v>
      </c>
      <c r="B274" s="51">
        <v>1069591</v>
      </c>
      <c r="D274" s="128" t="s">
        <v>566</v>
      </c>
      <c r="E274" s="35"/>
      <c r="F274" s="35"/>
      <c r="G274" s="35"/>
      <c r="H274" s="125"/>
      <c r="I274" s="129"/>
      <c r="J274" s="125" t="str">
        <f>IF(AND(G274&lt;&gt;"",(OR(G274&lt;'2014legmax.xls'!AZ274, (Weightings!G274-'2014legmax.xls'!AZ274)/'2014legmax.xls'!AZ274&gt;0.025))), "Confirm!", "")</f>
        <v/>
      </c>
    </row>
    <row r="275" spans="1:10">
      <c r="A275" s="54">
        <v>496</v>
      </c>
      <c r="B275" s="51">
        <v>166489</v>
      </c>
      <c r="D275" s="128" t="s">
        <v>567</v>
      </c>
      <c r="E275" s="35"/>
      <c r="F275" s="35"/>
      <c r="G275" s="35"/>
      <c r="H275" s="125"/>
      <c r="I275" s="129"/>
      <c r="J275" s="125" t="str">
        <f>IF(AND(G275&lt;&gt;"",(OR(G275&lt;'2014legmax.xls'!AZ275, (Weightings!G275-'2014legmax.xls'!AZ275)/'2014legmax.xls'!AZ275&gt;0.025))), "Confirm!", "")</f>
        <v/>
      </c>
    </row>
    <row r="276" spans="1:10">
      <c r="A276" s="54">
        <v>497</v>
      </c>
      <c r="B276" s="51">
        <v>10918476</v>
      </c>
      <c r="D276" s="128" t="s">
        <v>568</v>
      </c>
      <c r="E276" s="35">
        <v>-3449</v>
      </c>
      <c r="F276" s="35"/>
      <c r="G276" s="35"/>
      <c r="H276" s="125">
        <v>17</v>
      </c>
      <c r="I276" s="129"/>
      <c r="J276" s="125" t="str">
        <f>IF(AND(G276&lt;&gt;"",(OR(G276&lt;'2014legmax.xls'!AZ276, (Weightings!G276-'2014legmax.xls'!AZ276)/'2014legmax.xls'!AZ276&gt;0.025))), "Confirm!", "")</f>
        <v/>
      </c>
    </row>
    <row r="277" spans="1:10">
      <c r="A277" s="54">
        <v>498</v>
      </c>
      <c r="B277" s="51">
        <v>509154</v>
      </c>
      <c r="D277" s="128" t="s">
        <v>569</v>
      </c>
      <c r="E277" s="35">
        <v>-3931</v>
      </c>
      <c r="F277" s="35"/>
      <c r="G277" s="35">
        <v>3238878</v>
      </c>
      <c r="H277" s="125">
        <v>20</v>
      </c>
      <c r="I277" s="129"/>
      <c r="J277" s="125" t="str">
        <f>IF(AND(G277&lt;&gt;"",(OR(G277&lt;'2014legmax.xls'!AZ277, (Weightings!G277-'2014legmax.xls'!AZ277)/'2014legmax.xls'!AZ277&gt;0.025))), "Confirm!", "")</f>
        <v/>
      </c>
    </row>
    <row r="278" spans="1:10">
      <c r="A278" s="54">
        <v>499</v>
      </c>
      <c r="B278" s="51">
        <v>577658</v>
      </c>
      <c r="D278" s="128" t="s">
        <v>570</v>
      </c>
      <c r="E278" s="35"/>
      <c r="F278" s="35"/>
      <c r="G278" s="35">
        <v>6170736</v>
      </c>
      <c r="H278" s="125">
        <v>16</v>
      </c>
      <c r="I278" s="129"/>
      <c r="J278" s="125" t="str">
        <f>IF(AND(G278&lt;&gt;"",(OR(G278&lt;'2014legmax.xls'!AZ278, (Weightings!G278-'2014legmax.xls'!AZ278)/'2014legmax.xls'!AZ278&gt;0.025))), "Confirm!", "")</f>
        <v>Confirm!</v>
      </c>
    </row>
    <row r="279" spans="1:10">
      <c r="A279" s="54">
        <v>500</v>
      </c>
      <c r="B279" s="51">
        <v>14691745</v>
      </c>
      <c r="D279" s="128" t="s">
        <v>571</v>
      </c>
      <c r="E279" s="35">
        <v>-2300</v>
      </c>
      <c r="F279" s="35"/>
      <c r="G279" s="35">
        <v>144604326</v>
      </c>
      <c r="H279" s="125">
        <v>10</v>
      </c>
      <c r="I279" s="129"/>
      <c r="J279" s="125" t="str">
        <f>IF(AND(G279&lt;&gt;"",(OR(G279&lt;'2014legmax.xls'!AZ279, (Weightings!G279-'2014legmax.xls'!AZ279)/'2014legmax.xls'!AZ279&gt;0.025))), "Confirm!", "")</f>
        <v/>
      </c>
    </row>
    <row r="280" spans="1:10">
      <c r="A280" s="54">
        <v>501</v>
      </c>
      <c r="B280" s="51">
        <v>14947071</v>
      </c>
      <c r="D280" s="128" t="s">
        <v>572</v>
      </c>
      <c r="E280" s="35">
        <v>-2874</v>
      </c>
      <c r="F280" s="35"/>
      <c r="G280" s="35">
        <v>93539373</v>
      </c>
      <c r="H280" s="125">
        <v>10</v>
      </c>
      <c r="I280" s="129"/>
      <c r="J280" s="125" t="str">
        <f>IF(AND(G280&lt;&gt;"",(OR(G280&lt;'2014legmax.xls'!AZ280, (Weightings!G280-'2014legmax.xls'!AZ280)/'2014legmax.xls'!AZ280&gt;0.025))), "Confirm!", "")</f>
        <v/>
      </c>
    </row>
    <row r="281" spans="1:10">
      <c r="A281" s="54">
        <v>502</v>
      </c>
      <c r="B281" s="51">
        <v>123427</v>
      </c>
      <c r="D281" s="128" t="s">
        <v>573</v>
      </c>
      <c r="E281" s="35"/>
      <c r="F281" s="35"/>
      <c r="G281" s="35"/>
      <c r="H281" s="125"/>
      <c r="I281" s="129"/>
      <c r="J281" s="125" t="str">
        <f>IF(AND(G281&lt;&gt;"",(OR(G281&lt;'2014legmax.xls'!AZ281, (Weightings!G281-'2014legmax.xls'!AZ281)/'2014legmax.xls'!AZ281&gt;0.025))), "Confirm!", "")</f>
        <v/>
      </c>
    </row>
    <row r="282" spans="1:10">
      <c r="A282" s="54">
        <v>503</v>
      </c>
      <c r="B282" s="51">
        <v>1277708</v>
      </c>
      <c r="D282" s="128" t="s">
        <v>574</v>
      </c>
      <c r="E282" s="35"/>
      <c r="F282" s="35"/>
      <c r="G282" s="35"/>
      <c r="H282" s="125"/>
      <c r="I282" s="129"/>
      <c r="J282" s="125" t="str">
        <f>IF(AND(G282&lt;&gt;"",(OR(G282&lt;'2014legmax.xls'!AZ282, (Weightings!G282-'2014legmax.xls'!AZ282)/'2014legmax.xls'!AZ282&gt;0.025))), "Confirm!", "")</f>
        <v/>
      </c>
    </row>
    <row r="283" spans="1:10">
      <c r="A283" s="54">
        <v>504</v>
      </c>
      <c r="B283" s="51">
        <v>421887</v>
      </c>
      <c r="D283" s="128" t="s">
        <v>575</v>
      </c>
      <c r="E283" s="35"/>
      <c r="F283" s="35"/>
      <c r="G283" s="35"/>
      <c r="H283" s="125"/>
      <c r="I283" s="129"/>
      <c r="J283" s="125" t="str">
        <f>IF(AND(G283&lt;&gt;"",(OR(G283&lt;'2014legmax.xls'!AZ283, (Weightings!G283-'2014legmax.xls'!AZ283)/'2014legmax.xls'!AZ283&gt;0.025))), "Confirm!", "")</f>
        <v/>
      </c>
    </row>
    <row r="284" spans="1:10">
      <c r="A284" s="54">
        <v>505</v>
      </c>
      <c r="B284" s="51">
        <v>537677</v>
      </c>
      <c r="D284" s="128" t="s">
        <v>576</v>
      </c>
      <c r="E284" s="35"/>
      <c r="F284" s="35"/>
      <c r="G284" s="35"/>
      <c r="H284" s="125"/>
      <c r="I284" s="129"/>
      <c r="J284" s="125" t="str">
        <f>IF(AND(G284&lt;&gt;"",(OR(G284&lt;'2014legmax.xls'!AZ284, (Weightings!G284-'2014legmax.xls'!AZ284)/'2014legmax.xls'!AZ284&gt;0.025))), "Confirm!", "")</f>
        <v/>
      </c>
    </row>
    <row r="285" spans="1:10">
      <c r="A285" s="54">
        <v>506</v>
      </c>
      <c r="B285" s="51">
        <v>1454609</v>
      </c>
      <c r="D285" s="128" t="s">
        <v>577</v>
      </c>
      <c r="E285" s="35"/>
      <c r="F285" s="35"/>
      <c r="G285" s="35"/>
      <c r="H285" s="125"/>
      <c r="I285" s="129"/>
      <c r="J285" s="125" t="str">
        <f>IF(AND(G285&lt;&gt;"",(OR(G285&lt;'2014legmax.xls'!AZ285, (Weightings!G285-'2014legmax.xls'!AZ285)/'2014legmax.xls'!AZ285&gt;0.025))), "Confirm!", "")</f>
        <v/>
      </c>
    </row>
    <row r="286" spans="1:10">
      <c r="A286" s="54">
        <v>507</v>
      </c>
      <c r="B286" s="51">
        <v>226108</v>
      </c>
      <c r="D286" s="128" t="s">
        <v>578</v>
      </c>
      <c r="E286" s="35"/>
      <c r="F286" s="35"/>
      <c r="G286" s="35"/>
      <c r="H286" s="125"/>
      <c r="I286" s="129"/>
      <c r="J286" s="125" t="str">
        <f>IF(AND(G286&lt;&gt;"",(OR(G286&lt;'2014legmax.xls'!AZ286, (Weightings!G286-'2014legmax.xls'!AZ286)/'2014legmax.xls'!AZ286&gt;0.025))), "Confirm!", "")</f>
        <v/>
      </c>
    </row>
    <row r="287" spans="1:10">
      <c r="A287" s="54">
        <v>508</v>
      </c>
      <c r="B287" s="51">
        <v>764175</v>
      </c>
      <c r="D287" s="128" t="s">
        <v>579</v>
      </c>
      <c r="E287" s="35"/>
      <c r="F287" s="35"/>
      <c r="G287" s="35"/>
      <c r="H287" s="125"/>
      <c r="I287" s="129"/>
      <c r="J287" s="125" t="str">
        <f>IF(AND(G287&lt;&gt;"",(OR(G287&lt;'2014legmax.xls'!AZ287, (Weightings!G287-'2014legmax.xls'!AZ287)/'2014legmax.xls'!AZ287&gt;0.025))), "Confirm!", "")</f>
        <v/>
      </c>
    </row>
    <row r="288" spans="1:10">
      <c r="A288" s="54">
        <v>509</v>
      </c>
      <c r="B288" s="51">
        <v>314886</v>
      </c>
      <c r="D288" s="128" t="s">
        <v>580</v>
      </c>
      <c r="E288" s="35"/>
      <c r="F288" s="35"/>
      <c r="G288" s="35"/>
      <c r="H288" s="125"/>
      <c r="I288" s="129"/>
      <c r="J288" s="125" t="str">
        <f>IF(AND(G288&lt;&gt;"",(OR(G288&lt;'2014legmax.xls'!AZ288, (Weightings!G288-'2014legmax.xls'!AZ288)/'2014legmax.xls'!AZ288&gt;0.025))), "Confirm!", "")</f>
        <v/>
      </c>
    </row>
    <row r="289" spans="1:10">
      <c r="A289" s="54">
        <v>511</v>
      </c>
      <c r="B289" s="51">
        <v>149260</v>
      </c>
      <c r="D289" s="128" t="s">
        <v>581</v>
      </c>
      <c r="E289" s="35"/>
      <c r="F289" s="35"/>
      <c r="G289" s="35"/>
      <c r="H289" s="125"/>
      <c r="I289" s="129"/>
      <c r="J289" s="125" t="str">
        <f>IF(AND(G289&lt;&gt;"",(OR(G289&lt;'2014legmax.xls'!AZ289, (Weightings!G289-'2014legmax.xls'!AZ289)/'2014legmax.xls'!AZ289&gt;0.025))), "Confirm!", "")</f>
        <v/>
      </c>
    </row>
    <row r="290" spans="1:10">
      <c r="A290" s="54">
        <v>512</v>
      </c>
      <c r="B290" s="51">
        <v>26103306</v>
      </c>
      <c r="D290" s="128" t="s">
        <v>582</v>
      </c>
      <c r="E290" s="35"/>
      <c r="F290" s="35"/>
      <c r="G290" s="35"/>
      <c r="H290" s="125"/>
      <c r="I290" s="129"/>
      <c r="J290" s="125" t="str">
        <f>IF(AND(G290&lt;&gt;"",(OR(G290&lt;'2014legmax.xls'!AZ290, (Weightings!G290-'2014legmax.xls'!AZ290)/'2014legmax.xls'!AZ290&gt;0.025))), "Confirm!", "")</f>
        <v/>
      </c>
    </row>
  </sheetData>
  <autoFilter ref="D4:I290"/>
  <mergeCells count="3">
    <mergeCell ref="D3:I3"/>
    <mergeCell ref="A3:B3"/>
    <mergeCell ref="L3:P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B28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27" width="9.140625" style="12"/>
    <col min="28" max="28" width="11.140625" style="12" bestFit="1" customWidth="1"/>
    <col min="29" max="16384" width="9.140625" style="12"/>
  </cols>
  <sheetData>
    <row r="1" spans="1:28">
      <c r="A1" s="12" t="s">
        <v>0</v>
      </c>
      <c r="B1" s="12" t="s">
        <v>276</v>
      </c>
      <c r="C1" s="12" t="s">
        <v>296</v>
      </c>
      <c r="D1" s="12" t="s">
        <v>277</v>
      </c>
      <c r="E1" s="136" t="s">
        <v>290</v>
      </c>
      <c r="F1" s="12" t="s">
        <v>278</v>
      </c>
      <c r="G1" s="136" t="s">
        <v>291</v>
      </c>
      <c r="H1" s="12" t="s">
        <v>279</v>
      </c>
      <c r="I1" s="136" t="s">
        <v>280</v>
      </c>
      <c r="J1" s="136" t="s">
        <v>139</v>
      </c>
      <c r="K1" s="136" t="s">
        <v>294</v>
      </c>
      <c r="L1" s="12" t="s">
        <v>281</v>
      </c>
      <c r="M1" s="136" t="s">
        <v>293</v>
      </c>
      <c r="N1" s="136" t="s">
        <v>292</v>
      </c>
      <c r="O1" s="12" t="s">
        <v>282</v>
      </c>
      <c r="P1" s="136" t="s">
        <v>283</v>
      </c>
      <c r="Q1" s="136" t="s">
        <v>284</v>
      </c>
      <c r="R1" s="136" t="s">
        <v>285</v>
      </c>
      <c r="S1" s="136" t="s">
        <v>295</v>
      </c>
      <c r="T1" s="12" t="s">
        <v>286</v>
      </c>
      <c r="U1" s="12" t="s">
        <v>287</v>
      </c>
      <c r="V1" s="12" t="s">
        <v>288</v>
      </c>
      <c r="W1" s="12" t="s">
        <v>289</v>
      </c>
      <c r="X1" s="12" t="s">
        <v>275</v>
      </c>
      <c r="Y1" s="12" t="s">
        <v>613</v>
      </c>
      <c r="Z1" s="12" t="s">
        <v>583</v>
      </c>
      <c r="AA1" s="12" t="s">
        <v>917</v>
      </c>
      <c r="AB1" s="12" t="s">
        <v>920</v>
      </c>
    </row>
    <row r="2" spans="1:28" ht="15">
      <c r="A2" s="164">
        <v>101</v>
      </c>
      <c r="B2" s="168">
        <v>498</v>
      </c>
      <c r="C2" s="175">
        <v>1</v>
      </c>
      <c r="D2" s="166">
        <v>104.3</v>
      </c>
      <c r="E2" s="55"/>
      <c r="F2" s="166">
        <v>5.5</v>
      </c>
      <c r="G2" s="55"/>
      <c r="H2" s="165">
        <v>248</v>
      </c>
      <c r="I2" s="55"/>
      <c r="J2" s="55"/>
      <c r="K2" s="55"/>
      <c r="L2" s="166">
        <v>28</v>
      </c>
      <c r="M2" s="55"/>
      <c r="N2" s="55"/>
      <c r="O2" s="168">
        <v>270</v>
      </c>
      <c r="P2" s="55"/>
      <c r="Q2" s="55"/>
      <c r="R2" s="55"/>
      <c r="S2" s="55"/>
      <c r="T2" s="170">
        <v>14.3</v>
      </c>
      <c r="U2" s="169">
        <v>0</v>
      </c>
      <c r="V2" s="171">
        <v>0</v>
      </c>
      <c r="W2" s="55"/>
      <c r="X2" s="172">
        <v>0</v>
      </c>
      <c r="Y2" s="55"/>
      <c r="Z2" s="170">
        <v>0</v>
      </c>
      <c r="AA2" s="168">
        <v>0</v>
      </c>
      <c r="AB2" s="167">
        <v>4754198</v>
      </c>
    </row>
    <row r="3" spans="1:28" ht="15">
      <c r="A3" s="164">
        <v>102</v>
      </c>
      <c r="B3" s="168">
        <v>634.1</v>
      </c>
      <c r="C3" s="175">
        <v>11.5</v>
      </c>
      <c r="D3" s="166">
        <v>117.9</v>
      </c>
      <c r="E3" s="55"/>
      <c r="F3" s="166">
        <v>695.3</v>
      </c>
      <c r="G3" s="55"/>
      <c r="H3" s="165">
        <v>248</v>
      </c>
      <c r="I3" s="55"/>
      <c r="J3" s="55"/>
      <c r="K3" s="55"/>
      <c r="L3" s="166">
        <v>12</v>
      </c>
      <c r="M3" s="55"/>
      <c r="N3" s="55"/>
      <c r="O3" s="168">
        <v>101</v>
      </c>
      <c r="P3" s="55"/>
      <c r="Q3" s="55"/>
      <c r="R3" s="55"/>
      <c r="S3" s="55"/>
      <c r="T3" s="170">
        <v>11.2</v>
      </c>
      <c r="U3" s="169">
        <v>0</v>
      </c>
      <c r="V3" s="171">
        <v>0</v>
      </c>
      <c r="W3" s="55"/>
      <c r="X3" s="172">
        <v>0</v>
      </c>
      <c r="Y3" s="55"/>
      <c r="Z3" s="170">
        <v>0</v>
      </c>
      <c r="AA3" s="168">
        <v>0</v>
      </c>
      <c r="AB3" s="167">
        <v>4858140</v>
      </c>
    </row>
    <row r="4" spans="1:28" ht="15">
      <c r="A4" s="164">
        <v>103</v>
      </c>
      <c r="B4" s="168">
        <v>125.5</v>
      </c>
      <c r="C4" s="175">
        <v>0</v>
      </c>
      <c r="D4" s="166">
        <v>0.5</v>
      </c>
      <c r="E4" s="55"/>
      <c r="F4" s="166">
        <v>121.7</v>
      </c>
      <c r="G4" s="55"/>
      <c r="H4" s="165">
        <v>54</v>
      </c>
      <c r="I4" s="55"/>
      <c r="J4" s="55"/>
      <c r="K4" s="55"/>
      <c r="L4" s="166">
        <v>2</v>
      </c>
      <c r="M4" s="55"/>
      <c r="N4" s="55"/>
      <c r="O4" s="168">
        <v>54</v>
      </c>
      <c r="P4" s="55"/>
      <c r="Q4" s="55"/>
      <c r="R4" s="55"/>
      <c r="S4" s="55"/>
      <c r="T4" s="170">
        <v>0</v>
      </c>
      <c r="U4" s="169">
        <v>0</v>
      </c>
      <c r="V4" s="171">
        <v>0</v>
      </c>
      <c r="W4" s="55"/>
      <c r="X4" s="172">
        <v>0</v>
      </c>
      <c r="Y4" s="55"/>
      <c r="Z4" s="170">
        <v>0</v>
      </c>
      <c r="AA4" s="168">
        <v>0</v>
      </c>
      <c r="AB4" s="167">
        <v>1374388</v>
      </c>
    </row>
    <row r="5" spans="1:28" ht="15">
      <c r="A5" s="164">
        <v>105</v>
      </c>
      <c r="B5" s="168">
        <v>310.5</v>
      </c>
      <c r="C5" s="175">
        <v>0</v>
      </c>
      <c r="D5" s="166">
        <v>125.3</v>
      </c>
      <c r="E5" s="55"/>
      <c r="F5" s="166">
        <v>53.8</v>
      </c>
      <c r="G5" s="55"/>
      <c r="H5" s="165">
        <v>127</v>
      </c>
      <c r="I5" s="55"/>
      <c r="J5" s="55"/>
      <c r="K5" s="55"/>
      <c r="L5" s="166">
        <v>0</v>
      </c>
      <c r="M5" s="55"/>
      <c r="N5" s="55"/>
      <c r="O5" s="168">
        <v>92.5</v>
      </c>
      <c r="P5" s="55"/>
      <c r="Q5" s="55"/>
      <c r="R5" s="55"/>
      <c r="S5" s="55"/>
      <c r="T5" s="170">
        <v>0</v>
      </c>
      <c r="U5" s="169">
        <v>0</v>
      </c>
      <c r="V5" s="171">
        <v>0</v>
      </c>
      <c r="W5" s="55"/>
      <c r="X5" s="172">
        <v>0</v>
      </c>
      <c r="Y5" s="55"/>
      <c r="Z5" s="170">
        <v>0</v>
      </c>
      <c r="AA5" s="168">
        <v>0</v>
      </c>
      <c r="AB5" s="167">
        <v>2473207</v>
      </c>
    </row>
    <row r="6" spans="1:28" ht="15">
      <c r="A6" s="164">
        <v>106</v>
      </c>
      <c r="B6" s="168">
        <v>129.5</v>
      </c>
      <c r="C6" s="175">
        <v>0</v>
      </c>
      <c r="D6" s="166">
        <v>11.9</v>
      </c>
      <c r="E6" s="55"/>
      <c r="F6" s="166">
        <v>85.7</v>
      </c>
      <c r="G6" s="55"/>
      <c r="H6" s="165">
        <v>71</v>
      </c>
      <c r="I6" s="55"/>
      <c r="J6" s="55"/>
      <c r="K6" s="55"/>
      <c r="L6" s="166">
        <v>0</v>
      </c>
      <c r="M6" s="55"/>
      <c r="N6" s="55"/>
      <c r="O6" s="168">
        <v>63</v>
      </c>
      <c r="P6" s="55"/>
      <c r="Q6" s="55"/>
      <c r="R6" s="55"/>
      <c r="S6" s="55"/>
      <c r="T6" s="170">
        <v>0</v>
      </c>
      <c r="U6" s="169">
        <v>0</v>
      </c>
      <c r="V6" s="171">
        <v>0</v>
      </c>
      <c r="W6" s="55"/>
      <c r="X6" s="172">
        <v>0</v>
      </c>
      <c r="Y6" s="55"/>
      <c r="Z6" s="170">
        <v>0</v>
      </c>
      <c r="AA6" s="168">
        <v>0</v>
      </c>
      <c r="AB6" s="167">
        <v>1484538</v>
      </c>
    </row>
    <row r="7" spans="1:28" ht="15">
      <c r="A7" s="164">
        <v>107</v>
      </c>
      <c r="B7" s="168">
        <v>277.5</v>
      </c>
      <c r="C7" s="175">
        <v>2</v>
      </c>
      <c r="D7" s="166">
        <v>107.5</v>
      </c>
      <c r="E7" s="55"/>
      <c r="F7" s="166">
        <v>0</v>
      </c>
      <c r="G7" s="55"/>
      <c r="H7" s="165">
        <v>133</v>
      </c>
      <c r="I7" s="55"/>
      <c r="J7" s="55"/>
      <c r="K7" s="55"/>
      <c r="L7" s="166">
        <v>0</v>
      </c>
      <c r="M7" s="55"/>
      <c r="N7" s="55"/>
      <c r="O7" s="168">
        <v>153</v>
      </c>
      <c r="P7" s="55"/>
      <c r="Q7" s="55"/>
      <c r="R7" s="55"/>
      <c r="S7" s="55"/>
      <c r="T7" s="170">
        <v>0</v>
      </c>
      <c r="U7" s="169">
        <v>0</v>
      </c>
      <c r="V7" s="171">
        <v>0</v>
      </c>
      <c r="W7" s="55"/>
      <c r="X7" s="172">
        <v>0</v>
      </c>
      <c r="Y7" s="55"/>
      <c r="Z7" s="170">
        <v>0</v>
      </c>
      <c r="AA7" s="168">
        <v>0</v>
      </c>
      <c r="AB7" s="167">
        <v>2678540</v>
      </c>
    </row>
    <row r="8" spans="1:28" ht="15">
      <c r="A8" s="164">
        <v>108</v>
      </c>
      <c r="B8" s="168">
        <v>346</v>
      </c>
      <c r="C8" s="175">
        <v>0</v>
      </c>
      <c r="D8" s="166">
        <v>125.6</v>
      </c>
      <c r="E8" s="55"/>
      <c r="F8" s="166">
        <v>0</v>
      </c>
      <c r="G8" s="55"/>
      <c r="H8" s="165">
        <v>110</v>
      </c>
      <c r="I8" s="55"/>
      <c r="J8" s="55"/>
      <c r="K8" s="55"/>
      <c r="L8" s="166">
        <v>0</v>
      </c>
      <c r="M8" s="55"/>
      <c r="N8" s="55"/>
      <c r="O8" s="168">
        <v>149.5</v>
      </c>
      <c r="P8" s="55"/>
      <c r="Q8" s="55"/>
      <c r="R8" s="55"/>
      <c r="S8" s="55"/>
      <c r="T8" s="170">
        <v>0</v>
      </c>
      <c r="U8" s="169">
        <v>0</v>
      </c>
      <c r="V8" s="171">
        <v>0</v>
      </c>
      <c r="W8" s="55"/>
      <c r="X8" s="172">
        <v>0</v>
      </c>
      <c r="Y8" s="55"/>
      <c r="Z8" s="170">
        <v>0</v>
      </c>
      <c r="AA8" s="168">
        <v>0</v>
      </c>
      <c r="AB8" s="167">
        <v>3023309</v>
      </c>
    </row>
    <row r="9" spans="1:28" ht="15">
      <c r="A9" s="164">
        <v>109</v>
      </c>
      <c r="B9" s="168">
        <v>460</v>
      </c>
      <c r="C9" s="175">
        <v>0</v>
      </c>
      <c r="D9" s="166">
        <v>90.4</v>
      </c>
      <c r="E9" s="55"/>
      <c r="F9" s="166">
        <v>0</v>
      </c>
      <c r="G9" s="55"/>
      <c r="H9" s="165">
        <v>178</v>
      </c>
      <c r="I9" s="55"/>
      <c r="J9" s="55"/>
      <c r="K9" s="55"/>
      <c r="L9" s="166">
        <v>0</v>
      </c>
      <c r="M9" s="55"/>
      <c r="N9" s="55"/>
      <c r="O9" s="168">
        <v>192.5</v>
      </c>
      <c r="P9" s="55"/>
      <c r="Q9" s="55"/>
      <c r="R9" s="55"/>
      <c r="S9" s="55"/>
      <c r="T9" s="170">
        <v>0</v>
      </c>
      <c r="U9" s="169">
        <v>0</v>
      </c>
      <c r="V9" s="171">
        <v>0</v>
      </c>
      <c r="W9" s="55"/>
      <c r="X9" s="172">
        <v>0</v>
      </c>
      <c r="Y9" s="55"/>
      <c r="Z9" s="170">
        <v>0</v>
      </c>
      <c r="AA9" s="168">
        <v>0</v>
      </c>
      <c r="AB9" s="167">
        <v>3719406</v>
      </c>
    </row>
    <row r="10" spans="1:28" ht="15">
      <c r="A10" s="164">
        <v>110</v>
      </c>
      <c r="B10" s="168">
        <v>225</v>
      </c>
      <c r="C10" s="175">
        <v>1.5</v>
      </c>
      <c r="D10" s="166">
        <v>73.900000000000006</v>
      </c>
      <c r="E10" s="55"/>
      <c r="F10" s="166">
        <v>0</v>
      </c>
      <c r="G10" s="55"/>
      <c r="H10" s="165">
        <v>106</v>
      </c>
      <c r="I10" s="55"/>
      <c r="J10" s="55"/>
      <c r="K10" s="55"/>
      <c r="L10" s="166">
        <v>0</v>
      </c>
      <c r="M10" s="55"/>
      <c r="N10" s="55"/>
      <c r="O10" s="168">
        <v>151</v>
      </c>
      <c r="P10" s="55"/>
      <c r="Q10" s="55"/>
      <c r="R10" s="55"/>
      <c r="S10" s="55"/>
      <c r="T10" s="170">
        <v>1</v>
      </c>
      <c r="U10" s="169">
        <v>0</v>
      </c>
      <c r="V10" s="171">
        <v>0</v>
      </c>
      <c r="W10" s="55"/>
      <c r="X10" s="172">
        <v>0</v>
      </c>
      <c r="Y10" s="55"/>
      <c r="Z10" s="170">
        <v>0</v>
      </c>
      <c r="AA10" s="168">
        <v>0</v>
      </c>
      <c r="AB10" s="167">
        <v>2310476</v>
      </c>
    </row>
    <row r="11" spans="1:28" ht="15">
      <c r="A11" s="164">
        <v>111</v>
      </c>
      <c r="B11" s="168">
        <v>318</v>
      </c>
      <c r="C11" s="175">
        <v>6</v>
      </c>
      <c r="D11" s="166">
        <v>193.1</v>
      </c>
      <c r="E11" s="55"/>
      <c r="F11" s="166">
        <v>0</v>
      </c>
      <c r="G11" s="55"/>
      <c r="H11" s="165">
        <v>127</v>
      </c>
      <c r="I11" s="55"/>
      <c r="J11" s="55"/>
      <c r="K11" s="55"/>
      <c r="L11" s="166">
        <v>0</v>
      </c>
      <c r="M11" s="55"/>
      <c r="N11" s="55"/>
      <c r="O11" s="168">
        <v>249</v>
      </c>
      <c r="P11" s="55"/>
      <c r="Q11" s="55"/>
      <c r="R11" s="55"/>
      <c r="S11" s="55"/>
      <c r="T11" s="170">
        <v>0</v>
      </c>
      <c r="U11" s="169">
        <v>0</v>
      </c>
      <c r="V11" s="171">
        <v>0</v>
      </c>
      <c r="W11" s="55"/>
      <c r="X11" s="172">
        <v>0</v>
      </c>
      <c r="Y11" s="55"/>
      <c r="Z11" s="170">
        <v>0</v>
      </c>
      <c r="AA11" s="168">
        <v>0</v>
      </c>
      <c r="AB11" s="167">
        <v>3017819</v>
      </c>
    </row>
    <row r="12" spans="1:28" ht="15">
      <c r="A12" s="164">
        <v>112</v>
      </c>
      <c r="B12" s="168">
        <v>452.5</v>
      </c>
      <c r="C12" s="175">
        <v>7</v>
      </c>
      <c r="D12" s="166">
        <v>178</v>
      </c>
      <c r="E12" s="55"/>
      <c r="F12" s="166">
        <v>0</v>
      </c>
      <c r="G12" s="55"/>
      <c r="H12" s="165">
        <v>169</v>
      </c>
      <c r="I12" s="55"/>
      <c r="J12" s="55"/>
      <c r="K12" s="55"/>
      <c r="L12" s="166">
        <v>0</v>
      </c>
      <c r="M12" s="55"/>
      <c r="N12" s="55"/>
      <c r="O12" s="168">
        <v>237</v>
      </c>
      <c r="P12" s="55"/>
      <c r="Q12" s="55"/>
      <c r="R12" s="55"/>
      <c r="S12" s="55"/>
      <c r="T12" s="170">
        <v>60.4</v>
      </c>
      <c r="U12" s="169">
        <v>0</v>
      </c>
      <c r="V12" s="171">
        <v>0</v>
      </c>
      <c r="W12" s="55"/>
      <c r="X12" s="172">
        <v>0</v>
      </c>
      <c r="Y12" s="55"/>
      <c r="Z12" s="170">
        <v>0</v>
      </c>
      <c r="AA12" s="168">
        <v>0</v>
      </c>
      <c r="AB12" s="167">
        <v>5629868</v>
      </c>
    </row>
    <row r="13" spans="1:28" ht="15">
      <c r="A13" s="164">
        <v>113</v>
      </c>
      <c r="B13" s="168">
        <v>1071.7</v>
      </c>
      <c r="C13" s="175">
        <v>6.5</v>
      </c>
      <c r="D13" s="166">
        <v>322.89999999999998</v>
      </c>
      <c r="E13" s="55"/>
      <c r="F13" s="166">
        <v>3.6</v>
      </c>
      <c r="G13" s="55"/>
      <c r="H13" s="165">
        <v>267</v>
      </c>
      <c r="I13" s="55"/>
      <c r="J13" s="55"/>
      <c r="K13" s="55"/>
      <c r="L13" s="166">
        <v>0</v>
      </c>
      <c r="M13" s="55"/>
      <c r="N13" s="55"/>
      <c r="O13" s="168">
        <v>415.9</v>
      </c>
      <c r="P13" s="55"/>
      <c r="Q13" s="55"/>
      <c r="R13" s="55"/>
      <c r="S13" s="55"/>
      <c r="T13" s="170">
        <v>0</v>
      </c>
      <c r="U13" s="169">
        <v>0</v>
      </c>
      <c r="V13" s="171">
        <v>0</v>
      </c>
      <c r="W13" s="55"/>
      <c r="X13" s="172">
        <v>0</v>
      </c>
      <c r="Y13" s="55"/>
      <c r="Z13" s="170">
        <v>0</v>
      </c>
      <c r="AA13" s="168">
        <v>0</v>
      </c>
      <c r="AB13" s="167">
        <v>8556177</v>
      </c>
    </row>
    <row r="14" spans="1:28" ht="15">
      <c r="A14" s="164">
        <v>114</v>
      </c>
      <c r="B14" s="168">
        <v>644</v>
      </c>
      <c r="C14" s="175">
        <v>7</v>
      </c>
      <c r="D14" s="166">
        <v>136.30000000000001</v>
      </c>
      <c r="E14" s="55"/>
      <c r="F14" s="166">
        <v>0</v>
      </c>
      <c r="G14" s="55"/>
      <c r="H14" s="165">
        <v>309</v>
      </c>
      <c r="I14" s="55"/>
      <c r="J14" s="55"/>
      <c r="K14" s="55"/>
      <c r="L14" s="166">
        <v>0</v>
      </c>
      <c r="M14" s="55"/>
      <c r="N14" s="55"/>
      <c r="O14" s="168">
        <v>277</v>
      </c>
      <c r="P14" s="55"/>
      <c r="Q14" s="55"/>
      <c r="R14" s="55"/>
      <c r="S14" s="55"/>
      <c r="T14" s="170">
        <v>0</v>
      </c>
      <c r="U14" s="169">
        <v>0</v>
      </c>
      <c r="V14" s="171">
        <v>0</v>
      </c>
      <c r="W14" s="55"/>
      <c r="X14" s="172">
        <v>0</v>
      </c>
      <c r="Y14" s="55"/>
      <c r="Z14" s="170">
        <v>0</v>
      </c>
      <c r="AA14" s="168">
        <v>0</v>
      </c>
      <c r="AB14" s="167">
        <v>5735736</v>
      </c>
    </row>
    <row r="15" spans="1:28" ht="15">
      <c r="A15" s="164">
        <v>115</v>
      </c>
      <c r="B15" s="168">
        <v>549.20000000000005</v>
      </c>
      <c r="C15" s="175">
        <v>9</v>
      </c>
      <c r="D15" s="166">
        <v>341.9</v>
      </c>
      <c r="E15" s="55"/>
      <c r="F15" s="166">
        <v>0</v>
      </c>
      <c r="G15" s="55"/>
      <c r="H15" s="165">
        <v>93</v>
      </c>
      <c r="I15" s="55"/>
      <c r="J15" s="55"/>
      <c r="K15" s="55"/>
      <c r="L15" s="166">
        <v>0</v>
      </c>
      <c r="M15" s="55"/>
      <c r="N15" s="55"/>
      <c r="O15" s="168">
        <v>217.5</v>
      </c>
      <c r="P15" s="55"/>
      <c r="Q15" s="55"/>
      <c r="R15" s="55"/>
      <c r="S15" s="55"/>
      <c r="T15" s="170">
        <v>0</v>
      </c>
      <c r="U15" s="169">
        <v>0</v>
      </c>
      <c r="V15" s="171">
        <v>0</v>
      </c>
      <c r="W15" s="55"/>
      <c r="X15" s="172">
        <v>1</v>
      </c>
      <c r="Y15" s="55"/>
      <c r="Z15" s="170">
        <v>0</v>
      </c>
      <c r="AA15" s="168">
        <v>0</v>
      </c>
      <c r="AB15" s="167">
        <v>5127968</v>
      </c>
    </row>
    <row r="16" spans="1:28" ht="15">
      <c r="A16" s="164">
        <v>200</v>
      </c>
      <c r="B16" s="168">
        <v>205.8</v>
      </c>
      <c r="C16" s="175">
        <v>4</v>
      </c>
      <c r="D16" s="166">
        <v>38.1</v>
      </c>
      <c r="E16" s="55"/>
      <c r="F16" s="166">
        <v>196.2</v>
      </c>
      <c r="G16" s="55"/>
      <c r="H16" s="165">
        <v>103</v>
      </c>
      <c r="I16" s="55"/>
      <c r="J16" s="55"/>
      <c r="K16" s="55"/>
      <c r="L16" s="166">
        <v>0</v>
      </c>
      <c r="M16" s="55"/>
      <c r="N16" s="55"/>
      <c r="O16" s="168">
        <v>55</v>
      </c>
      <c r="P16" s="55"/>
      <c r="Q16" s="55"/>
      <c r="R16" s="55"/>
      <c r="S16" s="55"/>
      <c r="T16" s="170">
        <v>3.6</v>
      </c>
      <c r="U16" s="169">
        <v>0</v>
      </c>
      <c r="V16" s="171">
        <v>0</v>
      </c>
      <c r="W16" s="55"/>
      <c r="X16" s="172">
        <v>0</v>
      </c>
      <c r="Y16" s="55"/>
      <c r="Z16" s="170">
        <v>0</v>
      </c>
      <c r="AA16" s="168">
        <v>0</v>
      </c>
      <c r="AB16" s="167">
        <v>1896356</v>
      </c>
    </row>
    <row r="17" spans="1:28" ht="15">
      <c r="A17" s="164">
        <v>202</v>
      </c>
      <c r="B17" s="168">
        <v>3866</v>
      </c>
      <c r="C17" s="175">
        <v>77</v>
      </c>
      <c r="D17" s="166">
        <v>891</v>
      </c>
      <c r="E17" s="55"/>
      <c r="F17" s="166">
        <v>1816.4</v>
      </c>
      <c r="G17" s="55"/>
      <c r="H17" s="165">
        <v>2708</v>
      </c>
      <c r="I17" s="55"/>
      <c r="J17" s="55"/>
      <c r="K17" s="55"/>
      <c r="L17" s="166">
        <v>0</v>
      </c>
      <c r="M17" s="55"/>
      <c r="N17" s="55"/>
      <c r="O17" s="168">
        <v>1162</v>
      </c>
      <c r="P17" s="55"/>
      <c r="Q17" s="55"/>
      <c r="R17" s="55"/>
      <c r="S17" s="55"/>
      <c r="T17" s="170">
        <v>0</v>
      </c>
      <c r="U17" s="169">
        <v>0</v>
      </c>
      <c r="V17" s="171">
        <v>0</v>
      </c>
      <c r="W17" s="55"/>
      <c r="X17" s="172">
        <v>0</v>
      </c>
      <c r="Y17" s="55"/>
      <c r="Z17" s="170">
        <v>0</v>
      </c>
      <c r="AA17" s="168">
        <v>0</v>
      </c>
      <c r="AB17" s="167">
        <v>26329831</v>
      </c>
    </row>
    <row r="18" spans="1:28" ht="15">
      <c r="A18" s="164">
        <v>203</v>
      </c>
      <c r="B18" s="168">
        <v>1801.6</v>
      </c>
      <c r="C18" s="175">
        <v>4</v>
      </c>
      <c r="D18" s="166">
        <v>376.5</v>
      </c>
      <c r="E18" s="55"/>
      <c r="F18" s="166">
        <v>53.3</v>
      </c>
      <c r="G18" s="55"/>
      <c r="H18" s="165">
        <v>258</v>
      </c>
      <c r="I18" s="55"/>
      <c r="J18" s="55"/>
      <c r="K18" s="55"/>
      <c r="L18" s="166">
        <v>135</v>
      </c>
      <c r="M18" s="55"/>
      <c r="N18" s="55"/>
      <c r="O18" s="168">
        <v>1057</v>
      </c>
      <c r="P18" s="55"/>
      <c r="Q18" s="55"/>
      <c r="R18" s="55"/>
      <c r="S18" s="55"/>
      <c r="T18" s="170">
        <v>0</v>
      </c>
      <c r="U18" s="169">
        <v>0</v>
      </c>
      <c r="V18" s="171">
        <v>0</v>
      </c>
      <c r="W18" s="55"/>
      <c r="X18" s="172">
        <v>0</v>
      </c>
      <c r="Y18" s="55"/>
      <c r="Z18" s="170">
        <v>0</v>
      </c>
      <c r="AA18" s="168">
        <v>0</v>
      </c>
      <c r="AB18" s="167">
        <v>10382174</v>
      </c>
    </row>
    <row r="19" spans="1:28" ht="15">
      <c r="A19" s="164">
        <v>204</v>
      </c>
      <c r="B19" s="168">
        <v>2425.4</v>
      </c>
      <c r="C19" s="175">
        <v>19</v>
      </c>
      <c r="D19" s="166">
        <v>421.2</v>
      </c>
      <c r="E19" s="55"/>
      <c r="F19" s="166">
        <v>471.1</v>
      </c>
      <c r="G19" s="55"/>
      <c r="H19" s="165">
        <v>1073</v>
      </c>
      <c r="I19" s="55"/>
      <c r="J19" s="55"/>
      <c r="K19" s="55"/>
      <c r="L19" s="166">
        <v>0</v>
      </c>
      <c r="M19" s="55"/>
      <c r="N19" s="55"/>
      <c r="O19" s="168">
        <v>908</v>
      </c>
      <c r="P19" s="55"/>
      <c r="Q19" s="55"/>
      <c r="R19" s="55"/>
      <c r="S19" s="55"/>
      <c r="T19" s="170">
        <v>0</v>
      </c>
      <c r="U19" s="169">
        <v>0</v>
      </c>
      <c r="V19" s="171">
        <v>0</v>
      </c>
      <c r="W19" s="55"/>
      <c r="X19" s="172">
        <v>0</v>
      </c>
      <c r="Y19" s="55"/>
      <c r="Z19" s="170">
        <v>0</v>
      </c>
      <c r="AA19" s="168">
        <v>0</v>
      </c>
      <c r="AB19" s="167">
        <v>15239930</v>
      </c>
    </row>
    <row r="20" spans="1:28" ht="15">
      <c r="A20" s="164">
        <v>205</v>
      </c>
      <c r="B20" s="168">
        <v>502.2</v>
      </c>
      <c r="C20" s="175">
        <v>0</v>
      </c>
      <c r="D20" s="166">
        <v>114.4</v>
      </c>
      <c r="E20" s="55"/>
      <c r="F20" s="166">
        <v>0</v>
      </c>
      <c r="G20" s="55"/>
      <c r="H20" s="165">
        <v>241</v>
      </c>
      <c r="I20" s="55"/>
      <c r="J20" s="55"/>
      <c r="K20" s="55"/>
      <c r="L20" s="166">
        <v>0</v>
      </c>
      <c r="M20" s="55"/>
      <c r="N20" s="55"/>
      <c r="O20" s="168">
        <v>277</v>
      </c>
      <c r="P20" s="55"/>
      <c r="Q20" s="55"/>
      <c r="R20" s="55"/>
      <c r="S20" s="55"/>
      <c r="T20" s="170">
        <v>0</v>
      </c>
      <c r="U20" s="169">
        <v>0</v>
      </c>
      <c r="V20" s="171">
        <v>0</v>
      </c>
      <c r="W20" s="55"/>
      <c r="X20" s="172">
        <v>0</v>
      </c>
      <c r="Y20" s="55"/>
      <c r="Z20" s="170">
        <v>0</v>
      </c>
      <c r="AA20" s="168">
        <v>0</v>
      </c>
      <c r="AB20" s="167">
        <v>4333486</v>
      </c>
    </row>
    <row r="21" spans="1:28" ht="15">
      <c r="A21" s="164">
        <v>206</v>
      </c>
      <c r="B21" s="168">
        <v>491.1</v>
      </c>
      <c r="C21" s="175">
        <v>3</v>
      </c>
      <c r="D21" s="166">
        <v>59</v>
      </c>
      <c r="E21" s="55"/>
      <c r="F21" s="166">
        <v>92.7</v>
      </c>
      <c r="G21" s="55"/>
      <c r="H21" s="165">
        <v>150</v>
      </c>
      <c r="I21" s="55"/>
      <c r="J21" s="55"/>
      <c r="K21" s="55"/>
      <c r="L21" s="166">
        <v>0</v>
      </c>
      <c r="M21" s="55"/>
      <c r="N21" s="55"/>
      <c r="O21" s="168">
        <v>368.5</v>
      </c>
      <c r="P21" s="55"/>
      <c r="Q21" s="55"/>
      <c r="R21" s="55"/>
      <c r="S21" s="55"/>
      <c r="T21" s="170">
        <v>18.7</v>
      </c>
      <c r="U21" s="169">
        <v>0</v>
      </c>
      <c r="V21" s="171">
        <v>0</v>
      </c>
      <c r="W21" s="55"/>
      <c r="X21" s="172">
        <v>0</v>
      </c>
      <c r="Y21" s="55"/>
      <c r="Z21" s="170">
        <v>0</v>
      </c>
      <c r="AA21" s="168">
        <v>0</v>
      </c>
      <c r="AB21" s="167">
        <v>4274764</v>
      </c>
    </row>
    <row r="22" spans="1:28" ht="15">
      <c r="A22" s="164">
        <v>207</v>
      </c>
      <c r="B22" s="168">
        <v>1742.7</v>
      </c>
      <c r="C22" s="175">
        <v>0</v>
      </c>
      <c r="D22" s="166">
        <v>0.5</v>
      </c>
      <c r="E22" s="55"/>
      <c r="F22" s="166">
        <v>144.19999999999999</v>
      </c>
      <c r="G22" s="55"/>
      <c r="H22" s="165">
        <v>111</v>
      </c>
      <c r="I22" s="55"/>
      <c r="J22" s="55"/>
      <c r="K22" s="55"/>
      <c r="L22" s="166">
        <v>0</v>
      </c>
      <c r="M22" s="55"/>
      <c r="N22" s="55"/>
      <c r="O22" s="168">
        <v>132</v>
      </c>
      <c r="P22" s="55"/>
      <c r="Q22" s="55"/>
      <c r="R22" s="55"/>
      <c r="S22" s="55"/>
      <c r="T22" s="170">
        <v>0</v>
      </c>
      <c r="U22" s="169">
        <v>0</v>
      </c>
      <c r="V22" s="171">
        <v>0</v>
      </c>
      <c r="W22" s="55"/>
      <c r="X22" s="172">
        <v>0</v>
      </c>
      <c r="Y22" s="55"/>
      <c r="Z22" s="170">
        <v>135</v>
      </c>
      <c r="AA22" s="168">
        <v>0</v>
      </c>
      <c r="AB22" s="167">
        <v>11507475</v>
      </c>
    </row>
    <row r="23" spans="1:28" ht="15">
      <c r="A23" s="164">
        <v>208</v>
      </c>
      <c r="B23" s="168">
        <v>375</v>
      </c>
      <c r="C23" s="175">
        <v>0</v>
      </c>
      <c r="D23" s="166">
        <v>53.1</v>
      </c>
      <c r="E23" s="55"/>
      <c r="F23" s="166">
        <v>0</v>
      </c>
      <c r="G23" s="55"/>
      <c r="H23" s="165">
        <v>69</v>
      </c>
      <c r="I23" s="55"/>
      <c r="J23" s="55"/>
      <c r="K23" s="55"/>
      <c r="L23" s="166">
        <v>0</v>
      </c>
      <c r="M23" s="55"/>
      <c r="N23" s="55"/>
      <c r="O23" s="168">
        <v>86</v>
      </c>
      <c r="P23" s="55"/>
      <c r="Q23" s="55"/>
      <c r="R23" s="55"/>
      <c r="S23" s="55"/>
      <c r="T23" s="170">
        <v>0</v>
      </c>
      <c r="U23" s="169">
        <v>0</v>
      </c>
      <c r="V23" s="171">
        <v>0</v>
      </c>
      <c r="W23" s="55"/>
      <c r="X23" s="172">
        <v>0</v>
      </c>
      <c r="Y23" s="55"/>
      <c r="Z23" s="170">
        <v>0</v>
      </c>
      <c r="AA23" s="168">
        <v>0</v>
      </c>
      <c r="AB23" s="167">
        <v>2777561</v>
      </c>
    </row>
    <row r="24" spans="1:28" ht="15">
      <c r="A24" s="164">
        <v>209</v>
      </c>
      <c r="B24" s="168">
        <v>185.2</v>
      </c>
      <c r="C24" s="175">
        <v>4.5</v>
      </c>
      <c r="D24" s="166">
        <v>0</v>
      </c>
      <c r="E24" s="55"/>
      <c r="F24" s="166">
        <v>341.8</v>
      </c>
      <c r="G24" s="55"/>
      <c r="H24" s="165">
        <v>99</v>
      </c>
      <c r="I24" s="55"/>
      <c r="J24" s="55"/>
      <c r="K24" s="55"/>
      <c r="L24" s="166">
        <v>0</v>
      </c>
      <c r="M24" s="55"/>
      <c r="N24" s="55"/>
      <c r="O24" s="168">
        <v>46</v>
      </c>
      <c r="P24" s="55"/>
      <c r="Q24" s="55"/>
      <c r="R24" s="55"/>
      <c r="S24" s="55"/>
      <c r="T24" s="170">
        <v>0</v>
      </c>
      <c r="U24" s="169">
        <v>0</v>
      </c>
      <c r="V24" s="171">
        <v>0</v>
      </c>
      <c r="W24" s="55"/>
      <c r="X24" s="172">
        <v>0</v>
      </c>
      <c r="Y24" s="55"/>
      <c r="Z24" s="170">
        <v>0</v>
      </c>
      <c r="AA24" s="168">
        <v>0</v>
      </c>
      <c r="AB24" s="167">
        <v>1701769</v>
      </c>
    </row>
    <row r="25" spans="1:28" ht="15">
      <c r="A25" s="164">
        <v>210</v>
      </c>
      <c r="B25" s="168">
        <v>1020.8</v>
      </c>
      <c r="C25" s="175">
        <v>23</v>
      </c>
      <c r="D25" s="166">
        <v>298</v>
      </c>
      <c r="E25" s="55"/>
      <c r="F25" s="166">
        <v>1852.5</v>
      </c>
      <c r="G25" s="55"/>
      <c r="H25" s="165">
        <v>524</v>
      </c>
      <c r="I25" s="55"/>
      <c r="J25" s="55"/>
      <c r="K25" s="55"/>
      <c r="L25" s="166">
        <v>0</v>
      </c>
      <c r="M25" s="55"/>
      <c r="N25" s="55"/>
      <c r="O25" s="168">
        <v>187</v>
      </c>
      <c r="P25" s="55"/>
      <c r="Q25" s="55"/>
      <c r="R25" s="55"/>
      <c r="S25" s="55"/>
      <c r="T25" s="170">
        <v>9.8000000000000007</v>
      </c>
      <c r="U25" s="169">
        <v>0</v>
      </c>
      <c r="V25" s="171">
        <v>0</v>
      </c>
      <c r="W25" s="55"/>
      <c r="X25" s="172">
        <v>0</v>
      </c>
      <c r="Y25" s="55"/>
      <c r="Z25" s="170">
        <v>0</v>
      </c>
      <c r="AA25" s="168">
        <v>0</v>
      </c>
      <c r="AB25" s="167">
        <v>7449942</v>
      </c>
    </row>
    <row r="26" spans="1:28" ht="15">
      <c r="A26" s="164">
        <v>211</v>
      </c>
      <c r="B26" s="168">
        <v>695</v>
      </c>
      <c r="C26" s="175">
        <v>0</v>
      </c>
      <c r="D26" s="166">
        <v>170.7</v>
      </c>
      <c r="E26" s="55"/>
      <c r="F26" s="166">
        <v>1</v>
      </c>
      <c r="G26" s="55"/>
      <c r="H26" s="165">
        <v>237</v>
      </c>
      <c r="I26" s="55"/>
      <c r="J26" s="55"/>
      <c r="K26" s="55"/>
      <c r="L26" s="166">
        <v>0</v>
      </c>
      <c r="M26" s="55"/>
      <c r="N26" s="55"/>
      <c r="O26" s="168">
        <v>142.5</v>
      </c>
      <c r="P26" s="55"/>
      <c r="Q26" s="55"/>
      <c r="R26" s="55"/>
      <c r="S26" s="55"/>
      <c r="T26" s="170">
        <v>0</v>
      </c>
      <c r="U26" s="169">
        <v>0</v>
      </c>
      <c r="V26" s="171">
        <v>0</v>
      </c>
      <c r="W26" s="55"/>
      <c r="X26" s="172">
        <v>0</v>
      </c>
      <c r="Y26" s="55"/>
      <c r="Z26" s="170">
        <v>0</v>
      </c>
      <c r="AA26" s="168">
        <v>0</v>
      </c>
      <c r="AB26" s="167">
        <v>5576981</v>
      </c>
    </row>
    <row r="27" spans="1:28" ht="15">
      <c r="A27" s="164">
        <v>212</v>
      </c>
      <c r="B27" s="168">
        <v>170</v>
      </c>
      <c r="C27" s="175">
        <v>0</v>
      </c>
      <c r="D27" s="166">
        <v>50.9</v>
      </c>
      <c r="E27" s="55"/>
      <c r="F27" s="166">
        <v>0</v>
      </c>
      <c r="G27" s="55"/>
      <c r="H27" s="165">
        <v>63</v>
      </c>
      <c r="I27" s="55"/>
      <c r="J27" s="55"/>
      <c r="K27" s="55"/>
      <c r="L27" s="166">
        <v>0</v>
      </c>
      <c r="M27" s="55"/>
      <c r="N27" s="55"/>
      <c r="O27" s="168">
        <v>87</v>
      </c>
      <c r="P27" s="55"/>
      <c r="Q27" s="55"/>
      <c r="R27" s="55"/>
      <c r="S27" s="55"/>
      <c r="T27" s="170">
        <v>0</v>
      </c>
      <c r="U27" s="169">
        <v>0</v>
      </c>
      <c r="V27" s="171">
        <v>0</v>
      </c>
      <c r="W27" s="55"/>
      <c r="X27" s="172">
        <v>0</v>
      </c>
      <c r="Y27" s="55"/>
      <c r="Z27" s="170">
        <v>0</v>
      </c>
      <c r="AA27" s="168">
        <v>0</v>
      </c>
      <c r="AB27" s="167">
        <v>1808656</v>
      </c>
    </row>
    <row r="28" spans="1:28" ht="15">
      <c r="A28" s="164">
        <v>214</v>
      </c>
      <c r="B28" s="168">
        <v>1626.8</v>
      </c>
      <c r="C28" s="175">
        <v>32.5</v>
      </c>
      <c r="D28" s="166">
        <v>243.4</v>
      </c>
      <c r="E28" s="55"/>
      <c r="F28" s="166">
        <v>1691.7</v>
      </c>
      <c r="G28" s="55"/>
      <c r="H28" s="165">
        <v>887</v>
      </c>
      <c r="I28" s="55"/>
      <c r="J28" s="55"/>
      <c r="K28" s="55"/>
      <c r="L28" s="166">
        <v>0</v>
      </c>
      <c r="M28" s="55"/>
      <c r="N28" s="55"/>
      <c r="O28" s="168">
        <v>243</v>
      </c>
      <c r="P28" s="55"/>
      <c r="Q28" s="55"/>
      <c r="R28" s="55"/>
      <c r="S28" s="55"/>
      <c r="T28" s="170">
        <v>2.6</v>
      </c>
      <c r="U28" s="169">
        <v>0</v>
      </c>
      <c r="V28" s="171">
        <v>0</v>
      </c>
      <c r="W28" s="55"/>
      <c r="X28" s="172">
        <v>1</v>
      </c>
      <c r="Y28" s="55"/>
      <c r="Z28" s="170">
        <v>0</v>
      </c>
      <c r="AA28" s="168">
        <v>0</v>
      </c>
      <c r="AB28" s="167">
        <v>9896667</v>
      </c>
    </row>
    <row r="29" spans="1:28" ht="15">
      <c r="A29" s="164">
        <v>215</v>
      </c>
      <c r="B29" s="168">
        <v>635.20000000000005</v>
      </c>
      <c r="C29" s="175">
        <v>6.5</v>
      </c>
      <c r="D29" s="166">
        <v>68.2</v>
      </c>
      <c r="E29" s="55"/>
      <c r="F29" s="166">
        <v>795.1</v>
      </c>
      <c r="G29" s="55"/>
      <c r="H29" s="165">
        <v>299</v>
      </c>
      <c r="I29" s="55"/>
      <c r="J29" s="55"/>
      <c r="K29" s="55"/>
      <c r="L29" s="166">
        <v>0</v>
      </c>
      <c r="M29" s="55"/>
      <c r="N29" s="55"/>
      <c r="O29" s="168">
        <v>98</v>
      </c>
      <c r="P29" s="55"/>
      <c r="Q29" s="55"/>
      <c r="R29" s="55"/>
      <c r="S29" s="55"/>
      <c r="T29" s="170">
        <v>0</v>
      </c>
      <c r="U29" s="169">
        <v>0</v>
      </c>
      <c r="V29" s="171">
        <v>0</v>
      </c>
      <c r="W29" s="55"/>
      <c r="X29" s="172">
        <v>0</v>
      </c>
      <c r="Y29" s="55"/>
      <c r="Z29" s="170">
        <v>0</v>
      </c>
      <c r="AA29" s="168">
        <v>0</v>
      </c>
      <c r="AB29" s="167">
        <v>4571442</v>
      </c>
    </row>
    <row r="30" spans="1:28" ht="15">
      <c r="A30" s="164">
        <v>216</v>
      </c>
      <c r="B30" s="168">
        <v>235.9</v>
      </c>
      <c r="C30" s="175">
        <v>6</v>
      </c>
      <c r="D30" s="166">
        <v>63.4</v>
      </c>
      <c r="E30" s="55"/>
      <c r="F30" s="166">
        <v>506.1</v>
      </c>
      <c r="G30" s="55"/>
      <c r="H30" s="165">
        <v>171</v>
      </c>
      <c r="I30" s="55"/>
      <c r="J30" s="55"/>
      <c r="K30" s="55"/>
      <c r="L30" s="166">
        <v>0</v>
      </c>
      <c r="M30" s="55"/>
      <c r="N30" s="55"/>
      <c r="O30" s="168">
        <v>24</v>
      </c>
      <c r="P30" s="55"/>
      <c r="Q30" s="55"/>
      <c r="R30" s="55"/>
      <c r="S30" s="55"/>
      <c r="T30" s="170">
        <v>1.2</v>
      </c>
      <c r="U30" s="169">
        <v>0</v>
      </c>
      <c r="V30" s="171">
        <v>0</v>
      </c>
      <c r="W30" s="55"/>
      <c r="X30" s="172">
        <v>0</v>
      </c>
      <c r="Y30" s="55"/>
      <c r="Z30" s="170">
        <v>0</v>
      </c>
      <c r="AA30" s="168">
        <v>0</v>
      </c>
      <c r="AB30" s="167">
        <v>2279772</v>
      </c>
    </row>
    <row r="31" spans="1:28" ht="15">
      <c r="A31" s="164">
        <v>217</v>
      </c>
      <c r="B31" s="168">
        <v>181</v>
      </c>
      <c r="C31" s="175">
        <v>0</v>
      </c>
      <c r="D31" s="166">
        <v>87</v>
      </c>
      <c r="E31" s="55"/>
      <c r="F31" s="166">
        <v>197.7</v>
      </c>
      <c r="G31" s="55"/>
      <c r="H31" s="165">
        <v>63</v>
      </c>
      <c r="I31" s="55"/>
      <c r="J31" s="55"/>
      <c r="K31" s="55"/>
      <c r="L31" s="166">
        <v>0</v>
      </c>
      <c r="M31" s="55"/>
      <c r="N31" s="55"/>
      <c r="O31" s="168">
        <v>40</v>
      </c>
      <c r="P31" s="55"/>
      <c r="Q31" s="55"/>
      <c r="R31" s="55"/>
      <c r="S31" s="55"/>
      <c r="T31" s="170">
        <v>0</v>
      </c>
      <c r="U31" s="169">
        <v>0</v>
      </c>
      <c r="V31" s="171">
        <v>0</v>
      </c>
      <c r="W31" s="55"/>
      <c r="X31" s="172">
        <v>0</v>
      </c>
      <c r="Y31" s="55"/>
      <c r="Z31" s="170">
        <v>0</v>
      </c>
      <c r="AA31" s="168">
        <v>0</v>
      </c>
      <c r="AB31" s="167">
        <v>1633069</v>
      </c>
    </row>
    <row r="32" spans="1:28" ht="15">
      <c r="A32" s="164">
        <v>218</v>
      </c>
      <c r="B32" s="168">
        <v>504.1</v>
      </c>
      <c r="C32" s="175">
        <v>8.5</v>
      </c>
      <c r="D32" s="166">
        <v>91.8</v>
      </c>
      <c r="E32" s="55"/>
      <c r="F32" s="166">
        <v>483.2</v>
      </c>
      <c r="G32" s="55"/>
      <c r="H32" s="165">
        <v>273</v>
      </c>
      <c r="I32" s="55"/>
      <c r="J32" s="55"/>
      <c r="K32" s="55"/>
      <c r="L32" s="166">
        <v>0</v>
      </c>
      <c r="M32" s="55"/>
      <c r="N32" s="55"/>
      <c r="O32" s="168">
        <v>35</v>
      </c>
      <c r="P32" s="55"/>
      <c r="Q32" s="55"/>
      <c r="R32" s="55"/>
      <c r="S32" s="55"/>
      <c r="T32" s="170">
        <v>648.79999999999995</v>
      </c>
      <c r="U32" s="169">
        <v>94</v>
      </c>
      <c r="V32" s="171">
        <v>0</v>
      </c>
      <c r="W32" s="55"/>
      <c r="X32" s="172">
        <v>0</v>
      </c>
      <c r="Y32" s="55"/>
      <c r="Z32" s="170">
        <v>0</v>
      </c>
      <c r="AA32" s="168">
        <v>0</v>
      </c>
      <c r="AB32" s="167">
        <v>6832791</v>
      </c>
    </row>
    <row r="33" spans="1:28" ht="15">
      <c r="A33" s="164">
        <v>219</v>
      </c>
      <c r="B33" s="168">
        <v>250.5</v>
      </c>
      <c r="C33" s="175">
        <v>0</v>
      </c>
      <c r="D33" s="166">
        <v>0</v>
      </c>
      <c r="E33" s="55"/>
      <c r="F33" s="166">
        <v>0</v>
      </c>
      <c r="G33" s="55"/>
      <c r="H33" s="165">
        <v>105</v>
      </c>
      <c r="I33" s="55"/>
      <c r="J33" s="55"/>
      <c r="K33" s="55"/>
      <c r="L33" s="166">
        <v>0</v>
      </c>
      <c r="M33" s="55"/>
      <c r="N33" s="55"/>
      <c r="O33" s="168">
        <v>51</v>
      </c>
      <c r="P33" s="55"/>
      <c r="Q33" s="55"/>
      <c r="R33" s="55"/>
      <c r="S33" s="55"/>
      <c r="T33" s="170">
        <v>0</v>
      </c>
      <c r="U33" s="169">
        <v>0</v>
      </c>
      <c r="V33" s="171">
        <v>0</v>
      </c>
      <c r="W33" s="55"/>
      <c r="X33" s="172">
        <v>0</v>
      </c>
      <c r="Y33" s="55"/>
      <c r="Z33" s="170">
        <v>0</v>
      </c>
      <c r="AA33" s="168">
        <v>0</v>
      </c>
      <c r="AB33" s="167">
        <v>2107446</v>
      </c>
    </row>
    <row r="34" spans="1:28" ht="15">
      <c r="A34" s="164">
        <v>220</v>
      </c>
      <c r="B34" s="168">
        <v>197</v>
      </c>
      <c r="C34" s="175">
        <v>1.5</v>
      </c>
      <c r="D34" s="166">
        <v>43.8</v>
      </c>
      <c r="E34" s="55"/>
      <c r="F34" s="166">
        <v>54.3</v>
      </c>
      <c r="G34" s="55"/>
      <c r="H34" s="165">
        <v>75</v>
      </c>
      <c r="I34" s="55"/>
      <c r="J34" s="55"/>
      <c r="K34" s="55"/>
      <c r="L34" s="166">
        <v>0</v>
      </c>
      <c r="M34" s="55"/>
      <c r="N34" s="55"/>
      <c r="O34" s="168">
        <v>48</v>
      </c>
      <c r="P34" s="55"/>
      <c r="Q34" s="55"/>
      <c r="R34" s="55"/>
      <c r="S34" s="55"/>
      <c r="T34" s="170">
        <v>0</v>
      </c>
      <c r="U34" s="169">
        <v>0</v>
      </c>
      <c r="V34" s="171">
        <v>0</v>
      </c>
      <c r="W34" s="55"/>
      <c r="X34" s="172">
        <v>0</v>
      </c>
      <c r="Y34" s="55"/>
      <c r="Z34" s="170">
        <v>0</v>
      </c>
      <c r="AA34" s="168">
        <v>0</v>
      </c>
      <c r="AB34" s="167">
        <v>1805779</v>
      </c>
    </row>
    <row r="35" spans="1:28" ht="15">
      <c r="A35" s="164">
        <v>223</v>
      </c>
      <c r="B35" s="168">
        <v>374.8</v>
      </c>
      <c r="C35" s="175">
        <v>0</v>
      </c>
      <c r="D35" s="166">
        <v>160.6</v>
      </c>
      <c r="E35" s="55"/>
      <c r="F35" s="166">
        <v>51.6</v>
      </c>
      <c r="G35" s="55"/>
      <c r="H35" s="165">
        <v>137</v>
      </c>
      <c r="I35" s="55"/>
      <c r="J35" s="55"/>
      <c r="K35" s="55"/>
      <c r="L35" s="166">
        <v>0</v>
      </c>
      <c r="M35" s="55"/>
      <c r="N35" s="55"/>
      <c r="O35" s="168">
        <v>138.69999999999999</v>
      </c>
      <c r="P35" s="55"/>
      <c r="Q35" s="55"/>
      <c r="R35" s="55"/>
      <c r="S35" s="55"/>
      <c r="T35" s="170">
        <v>0</v>
      </c>
      <c r="U35" s="169">
        <v>0</v>
      </c>
      <c r="V35" s="171">
        <v>0</v>
      </c>
      <c r="W35" s="55"/>
      <c r="X35" s="172">
        <v>0</v>
      </c>
      <c r="Y35" s="55"/>
      <c r="Z35" s="170">
        <v>0</v>
      </c>
      <c r="AA35" s="168">
        <v>0</v>
      </c>
      <c r="AB35" s="167">
        <v>3150614</v>
      </c>
    </row>
    <row r="36" spans="1:28" ht="15">
      <c r="A36" s="164">
        <v>224</v>
      </c>
      <c r="B36" s="168">
        <v>307</v>
      </c>
      <c r="C36" s="175">
        <v>1</v>
      </c>
      <c r="D36" s="166">
        <v>65.099999999999994</v>
      </c>
      <c r="E36" s="55"/>
      <c r="F36" s="166">
        <v>0</v>
      </c>
      <c r="G36" s="55"/>
      <c r="H36" s="165">
        <v>74</v>
      </c>
      <c r="I36" s="55"/>
      <c r="J36" s="55"/>
      <c r="K36" s="55"/>
      <c r="L36" s="166">
        <v>0</v>
      </c>
      <c r="M36" s="55"/>
      <c r="N36" s="55"/>
      <c r="O36" s="168">
        <v>188</v>
      </c>
      <c r="P36" s="55"/>
      <c r="Q36" s="55"/>
      <c r="R36" s="55"/>
      <c r="S36" s="55"/>
      <c r="T36" s="170">
        <v>0</v>
      </c>
      <c r="U36" s="169">
        <v>0</v>
      </c>
      <c r="V36" s="171">
        <v>0</v>
      </c>
      <c r="W36" s="55"/>
      <c r="X36" s="172">
        <v>0</v>
      </c>
      <c r="Y36" s="55"/>
      <c r="Z36" s="170">
        <v>0</v>
      </c>
      <c r="AA36" s="168">
        <v>0</v>
      </c>
      <c r="AB36" s="167">
        <v>2490094</v>
      </c>
    </row>
    <row r="37" spans="1:28" ht="15">
      <c r="A37" s="164">
        <v>225</v>
      </c>
      <c r="B37" s="168">
        <v>153.5</v>
      </c>
      <c r="C37" s="175">
        <v>2.5</v>
      </c>
      <c r="D37" s="166">
        <v>0</v>
      </c>
      <c r="E37" s="55"/>
      <c r="F37" s="166">
        <v>34.299999999999997</v>
      </c>
      <c r="G37" s="55"/>
      <c r="H37" s="165">
        <v>65</v>
      </c>
      <c r="I37" s="55"/>
      <c r="J37" s="55"/>
      <c r="K37" s="55"/>
      <c r="L37" s="166">
        <v>0</v>
      </c>
      <c r="M37" s="55"/>
      <c r="N37" s="55"/>
      <c r="O37" s="168">
        <v>30</v>
      </c>
      <c r="P37" s="55"/>
      <c r="Q37" s="55"/>
      <c r="R37" s="55"/>
      <c r="S37" s="55"/>
      <c r="T37" s="170">
        <v>0</v>
      </c>
      <c r="U37" s="169">
        <v>0</v>
      </c>
      <c r="V37" s="171">
        <v>0</v>
      </c>
      <c r="W37" s="55"/>
      <c r="X37" s="172">
        <v>0</v>
      </c>
      <c r="Y37" s="55"/>
      <c r="Z37" s="170">
        <v>0</v>
      </c>
      <c r="AA37" s="168">
        <v>0</v>
      </c>
      <c r="AB37" s="167">
        <v>1514475</v>
      </c>
    </row>
    <row r="38" spans="1:28" ht="15">
      <c r="A38" s="164">
        <v>226</v>
      </c>
      <c r="B38" s="168">
        <v>409.4</v>
      </c>
      <c r="C38" s="175">
        <v>4.5</v>
      </c>
      <c r="D38" s="166">
        <v>73.7</v>
      </c>
      <c r="E38" s="55"/>
      <c r="F38" s="166">
        <v>34.299999999999997</v>
      </c>
      <c r="G38" s="55"/>
      <c r="H38" s="165">
        <v>142</v>
      </c>
      <c r="I38" s="55"/>
      <c r="J38" s="55"/>
      <c r="K38" s="55"/>
      <c r="L38" s="166">
        <v>0</v>
      </c>
      <c r="M38" s="55"/>
      <c r="N38" s="55"/>
      <c r="O38" s="168">
        <v>70</v>
      </c>
      <c r="P38" s="55"/>
      <c r="Q38" s="55"/>
      <c r="R38" s="55"/>
      <c r="S38" s="55"/>
      <c r="T38" s="170">
        <v>0</v>
      </c>
      <c r="U38" s="169">
        <v>0</v>
      </c>
      <c r="V38" s="171">
        <v>0</v>
      </c>
      <c r="W38" s="55"/>
      <c r="X38" s="172">
        <v>0</v>
      </c>
      <c r="Y38" s="55"/>
      <c r="Z38" s="170">
        <v>0</v>
      </c>
      <c r="AA38" s="168">
        <v>0</v>
      </c>
      <c r="AB38" s="167">
        <v>3149579</v>
      </c>
    </row>
    <row r="39" spans="1:28" ht="15">
      <c r="A39" s="164">
        <v>227</v>
      </c>
      <c r="B39" s="168">
        <v>291</v>
      </c>
      <c r="C39" s="175">
        <v>0</v>
      </c>
      <c r="D39" s="166">
        <v>60.5</v>
      </c>
      <c r="E39" s="55"/>
      <c r="F39" s="166">
        <v>14.5</v>
      </c>
      <c r="G39" s="55"/>
      <c r="H39" s="165">
        <v>73</v>
      </c>
      <c r="I39" s="55"/>
      <c r="J39" s="55"/>
      <c r="K39" s="55"/>
      <c r="L39" s="166">
        <v>0</v>
      </c>
      <c r="M39" s="55"/>
      <c r="N39" s="55"/>
      <c r="O39" s="168">
        <v>126.5</v>
      </c>
      <c r="P39" s="55"/>
      <c r="Q39" s="55"/>
      <c r="R39" s="55"/>
      <c r="S39" s="55"/>
      <c r="T39" s="170">
        <v>0</v>
      </c>
      <c r="U39" s="169">
        <v>0</v>
      </c>
      <c r="V39" s="171">
        <v>0</v>
      </c>
      <c r="W39" s="55"/>
      <c r="X39" s="172">
        <v>0</v>
      </c>
      <c r="Y39" s="55"/>
      <c r="Z39" s="170">
        <v>0</v>
      </c>
      <c r="AA39" s="168">
        <v>0</v>
      </c>
      <c r="AB39" s="167">
        <v>2848601</v>
      </c>
    </row>
    <row r="40" spans="1:28" ht="15">
      <c r="A40" s="164">
        <v>229</v>
      </c>
      <c r="B40" s="168">
        <v>21402.3</v>
      </c>
      <c r="C40" s="175">
        <v>0</v>
      </c>
      <c r="D40" s="166">
        <v>4818.1000000000004</v>
      </c>
      <c r="E40" s="55"/>
      <c r="F40" s="166">
        <v>532.5</v>
      </c>
      <c r="G40" s="55"/>
      <c r="H40" s="165">
        <v>1314</v>
      </c>
      <c r="I40" s="55"/>
      <c r="J40" s="55"/>
      <c r="K40" s="55"/>
      <c r="L40" s="166">
        <v>21.3</v>
      </c>
      <c r="M40" s="55"/>
      <c r="N40" s="55"/>
      <c r="O40" s="168">
        <v>5220</v>
      </c>
      <c r="P40" s="55"/>
      <c r="Q40" s="55"/>
      <c r="R40" s="55"/>
      <c r="S40" s="55"/>
      <c r="T40" s="170">
        <v>0.8</v>
      </c>
      <c r="U40" s="169">
        <v>0</v>
      </c>
      <c r="V40" s="171">
        <v>0</v>
      </c>
      <c r="W40" s="55"/>
      <c r="X40" s="172">
        <v>0</v>
      </c>
      <c r="Y40" s="55"/>
      <c r="Z40" s="170">
        <v>0</v>
      </c>
      <c r="AA40" s="168">
        <v>0</v>
      </c>
      <c r="AB40" s="167">
        <v>132855440</v>
      </c>
    </row>
    <row r="41" spans="1:28" ht="15">
      <c r="A41" s="164">
        <v>230</v>
      </c>
      <c r="B41" s="168">
        <v>2272.5</v>
      </c>
      <c r="C41" s="175">
        <v>7</v>
      </c>
      <c r="D41" s="166">
        <v>535.70000000000005</v>
      </c>
      <c r="E41" s="55"/>
      <c r="F41" s="166">
        <v>6.4</v>
      </c>
      <c r="G41" s="55"/>
      <c r="H41" s="165">
        <v>447</v>
      </c>
      <c r="I41" s="55"/>
      <c r="J41" s="55"/>
      <c r="K41" s="55"/>
      <c r="L41" s="166">
        <v>600</v>
      </c>
      <c r="M41" s="55"/>
      <c r="N41" s="55"/>
      <c r="O41" s="168">
        <v>1282</v>
      </c>
      <c r="P41" s="55"/>
      <c r="Q41" s="55"/>
      <c r="R41" s="55"/>
      <c r="S41" s="55"/>
      <c r="T41" s="170">
        <v>592</v>
      </c>
      <c r="U41" s="169">
        <v>56</v>
      </c>
      <c r="V41" s="171">
        <v>0</v>
      </c>
      <c r="W41" s="55"/>
      <c r="X41" s="172">
        <v>0</v>
      </c>
      <c r="Y41" s="55"/>
      <c r="Z41" s="170">
        <v>0</v>
      </c>
      <c r="AA41" s="168">
        <v>0</v>
      </c>
      <c r="AB41" s="167">
        <v>17145497</v>
      </c>
    </row>
    <row r="42" spans="1:28" ht="15">
      <c r="A42" s="164">
        <v>231</v>
      </c>
      <c r="B42" s="168">
        <v>5145</v>
      </c>
      <c r="C42" s="175">
        <v>9</v>
      </c>
      <c r="D42" s="166">
        <v>849.7</v>
      </c>
      <c r="E42" s="55"/>
      <c r="F42" s="166">
        <v>213.8</v>
      </c>
      <c r="G42" s="55"/>
      <c r="H42" s="165">
        <v>1315</v>
      </c>
      <c r="I42" s="55"/>
      <c r="J42" s="55"/>
      <c r="K42" s="55"/>
      <c r="L42" s="166">
        <v>321</v>
      </c>
      <c r="M42" s="55"/>
      <c r="N42" s="55"/>
      <c r="O42" s="168">
        <v>1516</v>
      </c>
      <c r="P42" s="55"/>
      <c r="Q42" s="55"/>
      <c r="R42" s="55"/>
      <c r="S42" s="55"/>
      <c r="T42" s="170">
        <v>0</v>
      </c>
      <c r="U42" s="169">
        <v>0</v>
      </c>
      <c r="V42" s="171">
        <v>0</v>
      </c>
      <c r="W42" s="55"/>
      <c r="X42" s="172">
        <v>0</v>
      </c>
      <c r="Y42" s="55"/>
      <c r="Z42" s="170">
        <v>0</v>
      </c>
      <c r="AA42" s="168">
        <v>0</v>
      </c>
      <c r="AB42" s="167">
        <v>29987467</v>
      </c>
    </row>
    <row r="43" spans="1:28" ht="15">
      <c r="A43" s="164">
        <v>232</v>
      </c>
      <c r="B43" s="168">
        <v>6698.1</v>
      </c>
      <c r="C43" s="175">
        <v>11.5</v>
      </c>
      <c r="D43" s="166">
        <v>1724.6</v>
      </c>
      <c r="E43" s="55"/>
      <c r="F43" s="166">
        <v>933</v>
      </c>
      <c r="G43" s="55"/>
      <c r="H43" s="165">
        <v>775</v>
      </c>
      <c r="I43" s="55"/>
      <c r="J43" s="55"/>
      <c r="K43" s="55"/>
      <c r="L43" s="166">
        <v>90.7</v>
      </c>
      <c r="M43" s="55"/>
      <c r="N43" s="55"/>
      <c r="O43" s="168">
        <v>1810</v>
      </c>
      <c r="P43" s="55"/>
      <c r="Q43" s="55"/>
      <c r="R43" s="55"/>
      <c r="S43" s="55"/>
      <c r="T43" s="170">
        <v>0</v>
      </c>
      <c r="U43" s="169">
        <v>0</v>
      </c>
      <c r="V43" s="171">
        <v>0</v>
      </c>
      <c r="W43" s="55"/>
      <c r="X43" s="172">
        <v>0</v>
      </c>
      <c r="Y43" s="55"/>
      <c r="Z43" s="170">
        <v>0</v>
      </c>
      <c r="AA43" s="168">
        <v>0</v>
      </c>
      <c r="AB43" s="167">
        <v>37028640</v>
      </c>
    </row>
    <row r="44" spans="1:28" ht="15">
      <c r="A44" s="164">
        <v>233</v>
      </c>
      <c r="B44" s="168">
        <v>27458.5</v>
      </c>
      <c r="C44" s="175">
        <v>30</v>
      </c>
      <c r="D44" s="166">
        <v>4611.8</v>
      </c>
      <c r="E44" s="55"/>
      <c r="F44" s="166">
        <v>5918.9</v>
      </c>
      <c r="G44" s="55"/>
      <c r="H44" s="165">
        <v>6273</v>
      </c>
      <c r="I44" s="55"/>
      <c r="J44" s="55"/>
      <c r="K44" s="55"/>
      <c r="L44" s="166">
        <v>69.2</v>
      </c>
      <c r="M44" s="55"/>
      <c r="N44" s="55"/>
      <c r="O44" s="168">
        <v>5022</v>
      </c>
      <c r="P44" s="55"/>
      <c r="Q44" s="55"/>
      <c r="R44" s="55"/>
      <c r="S44" s="55"/>
      <c r="T44" s="170">
        <v>0</v>
      </c>
      <c r="U44" s="169">
        <v>0</v>
      </c>
      <c r="V44" s="171">
        <v>0</v>
      </c>
      <c r="W44" s="55"/>
      <c r="X44" s="172">
        <v>1</v>
      </c>
      <c r="Y44" s="55"/>
      <c r="Z44" s="170">
        <v>0</v>
      </c>
      <c r="AA44" s="168">
        <v>0</v>
      </c>
      <c r="AB44" s="167">
        <v>165321850</v>
      </c>
    </row>
    <row r="45" spans="1:28" ht="15">
      <c r="A45" s="164">
        <v>234</v>
      </c>
      <c r="B45" s="168">
        <v>1817.2</v>
      </c>
      <c r="C45" s="175">
        <v>18</v>
      </c>
      <c r="D45" s="166">
        <v>299.89999999999998</v>
      </c>
      <c r="E45" s="55"/>
      <c r="F45" s="166">
        <v>23.5</v>
      </c>
      <c r="G45" s="55"/>
      <c r="H45" s="165">
        <v>1052</v>
      </c>
      <c r="I45" s="55"/>
      <c r="J45" s="55"/>
      <c r="K45" s="55"/>
      <c r="L45" s="166">
        <v>0</v>
      </c>
      <c r="M45" s="55"/>
      <c r="N45" s="55"/>
      <c r="O45" s="168">
        <v>621</v>
      </c>
      <c r="P45" s="55"/>
      <c r="Q45" s="55"/>
      <c r="R45" s="55"/>
      <c r="S45" s="55"/>
      <c r="T45" s="170">
        <v>0</v>
      </c>
      <c r="U45" s="169">
        <v>0</v>
      </c>
      <c r="V45" s="171">
        <v>0</v>
      </c>
      <c r="W45" s="55"/>
      <c r="X45" s="172">
        <v>0</v>
      </c>
      <c r="Y45" s="55"/>
      <c r="Z45" s="170">
        <v>0</v>
      </c>
      <c r="AA45" s="168">
        <v>0</v>
      </c>
      <c r="AB45" s="167">
        <v>11230968</v>
      </c>
    </row>
    <row r="46" spans="1:28" ht="15">
      <c r="A46" s="164">
        <v>235</v>
      </c>
      <c r="B46" s="168">
        <v>429</v>
      </c>
      <c r="C46" s="175">
        <v>4.5</v>
      </c>
      <c r="D46" s="166">
        <v>126.6</v>
      </c>
      <c r="E46" s="55"/>
      <c r="F46" s="166">
        <v>0</v>
      </c>
      <c r="G46" s="55"/>
      <c r="H46" s="165">
        <v>248</v>
      </c>
      <c r="I46" s="55"/>
      <c r="J46" s="55"/>
      <c r="K46" s="55"/>
      <c r="L46" s="166">
        <v>0</v>
      </c>
      <c r="M46" s="55"/>
      <c r="N46" s="55"/>
      <c r="O46" s="168">
        <v>299</v>
      </c>
      <c r="P46" s="55"/>
      <c r="Q46" s="55"/>
      <c r="R46" s="55"/>
      <c r="S46" s="55"/>
      <c r="T46" s="170">
        <v>0</v>
      </c>
      <c r="U46" s="169">
        <v>0</v>
      </c>
      <c r="V46" s="171">
        <v>0</v>
      </c>
      <c r="W46" s="55"/>
      <c r="X46" s="172">
        <v>0</v>
      </c>
      <c r="Y46" s="55"/>
      <c r="Z46" s="170">
        <v>0</v>
      </c>
      <c r="AA46" s="168">
        <v>0</v>
      </c>
      <c r="AB46" s="167">
        <v>3690237</v>
      </c>
    </row>
    <row r="47" spans="1:28" ht="15">
      <c r="A47" s="164">
        <v>237</v>
      </c>
      <c r="B47" s="168">
        <v>377</v>
      </c>
      <c r="C47" s="175">
        <v>0</v>
      </c>
      <c r="D47" s="166">
        <v>152.80000000000001</v>
      </c>
      <c r="E47" s="55"/>
      <c r="F47" s="166">
        <v>0</v>
      </c>
      <c r="G47" s="55"/>
      <c r="H47" s="165">
        <v>130</v>
      </c>
      <c r="I47" s="55"/>
      <c r="J47" s="55"/>
      <c r="K47" s="55"/>
      <c r="L47" s="166">
        <v>0</v>
      </c>
      <c r="M47" s="55"/>
      <c r="N47" s="55"/>
      <c r="O47" s="168">
        <v>127</v>
      </c>
      <c r="P47" s="55"/>
      <c r="Q47" s="55"/>
      <c r="R47" s="55"/>
      <c r="S47" s="55"/>
      <c r="T47" s="170">
        <v>0</v>
      </c>
      <c r="U47" s="169">
        <v>0</v>
      </c>
      <c r="V47" s="171">
        <v>0</v>
      </c>
      <c r="W47" s="55"/>
      <c r="X47" s="172">
        <v>0</v>
      </c>
      <c r="Y47" s="55"/>
      <c r="Z47" s="170">
        <v>0</v>
      </c>
      <c r="AA47" s="168">
        <v>0</v>
      </c>
      <c r="AB47" s="167">
        <v>3201660</v>
      </c>
    </row>
    <row r="48" spans="1:28" ht="15">
      <c r="A48" s="164">
        <v>239</v>
      </c>
      <c r="B48" s="168">
        <v>618.20000000000005</v>
      </c>
      <c r="C48" s="175">
        <v>0</v>
      </c>
      <c r="D48" s="166">
        <v>72.3</v>
      </c>
      <c r="E48" s="55"/>
      <c r="F48" s="166">
        <v>0</v>
      </c>
      <c r="G48" s="55"/>
      <c r="H48" s="165">
        <v>201</v>
      </c>
      <c r="I48" s="55"/>
      <c r="J48" s="55"/>
      <c r="K48" s="55"/>
      <c r="L48" s="166">
        <v>0</v>
      </c>
      <c r="M48" s="55"/>
      <c r="N48" s="55"/>
      <c r="O48" s="168">
        <v>180</v>
      </c>
      <c r="P48" s="55"/>
      <c r="Q48" s="55"/>
      <c r="R48" s="55"/>
      <c r="S48" s="55"/>
      <c r="T48" s="170">
        <v>0</v>
      </c>
      <c r="U48" s="169">
        <v>0</v>
      </c>
      <c r="V48" s="171">
        <v>0</v>
      </c>
      <c r="W48" s="55"/>
      <c r="X48" s="172">
        <v>0</v>
      </c>
      <c r="Y48" s="55"/>
      <c r="Z48" s="170">
        <v>0</v>
      </c>
      <c r="AA48" s="168">
        <v>0</v>
      </c>
      <c r="AB48" s="167">
        <v>4611741</v>
      </c>
    </row>
    <row r="49" spans="1:28" ht="15">
      <c r="A49" s="164">
        <v>240</v>
      </c>
      <c r="B49" s="168">
        <v>577.5</v>
      </c>
      <c r="C49" s="175">
        <v>0</v>
      </c>
      <c r="D49" s="166">
        <v>165.9</v>
      </c>
      <c r="E49" s="55"/>
      <c r="F49" s="166">
        <v>0</v>
      </c>
      <c r="G49" s="55"/>
      <c r="H49" s="165">
        <v>206</v>
      </c>
      <c r="I49" s="55"/>
      <c r="J49" s="55"/>
      <c r="K49" s="55"/>
      <c r="L49" s="166">
        <v>0</v>
      </c>
      <c r="M49" s="55"/>
      <c r="N49" s="55"/>
      <c r="O49" s="168">
        <v>173</v>
      </c>
      <c r="P49" s="55"/>
      <c r="Q49" s="55"/>
      <c r="R49" s="55"/>
      <c r="S49" s="55"/>
      <c r="T49" s="170">
        <v>8.9</v>
      </c>
      <c r="U49" s="169">
        <v>0</v>
      </c>
      <c r="V49" s="171">
        <v>0</v>
      </c>
      <c r="W49" s="55"/>
      <c r="X49" s="172">
        <v>0</v>
      </c>
      <c r="Y49" s="55"/>
      <c r="Z49" s="170">
        <v>0</v>
      </c>
      <c r="AA49" s="168">
        <v>0</v>
      </c>
      <c r="AB49" s="167">
        <v>4389904</v>
      </c>
    </row>
    <row r="50" spans="1:28" ht="15">
      <c r="A50" s="164">
        <v>241</v>
      </c>
      <c r="B50" s="168">
        <v>190</v>
      </c>
      <c r="C50" s="175">
        <v>0</v>
      </c>
      <c r="D50" s="166">
        <v>0.3</v>
      </c>
      <c r="E50" s="55"/>
      <c r="F50" s="166">
        <v>0</v>
      </c>
      <c r="G50" s="55"/>
      <c r="H50" s="165">
        <v>50</v>
      </c>
      <c r="I50" s="55"/>
      <c r="J50" s="55"/>
      <c r="K50" s="55"/>
      <c r="L50" s="166">
        <v>0</v>
      </c>
      <c r="M50" s="55"/>
      <c r="N50" s="55"/>
      <c r="O50" s="168">
        <v>57</v>
      </c>
      <c r="P50" s="55"/>
      <c r="Q50" s="55"/>
      <c r="R50" s="55"/>
      <c r="S50" s="55"/>
      <c r="T50" s="170">
        <v>0</v>
      </c>
      <c r="U50" s="169">
        <v>0</v>
      </c>
      <c r="V50" s="171">
        <v>0</v>
      </c>
      <c r="W50" s="55"/>
      <c r="X50" s="172">
        <v>0</v>
      </c>
      <c r="Y50" s="55"/>
      <c r="Z50" s="170">
        <v>0</v>
      </c>
      <c r="AA50" s="168">
        <v>0</v>
      </c>
      <c r="AB50" s="167">
        <v>1743987</v>
      </c>
    </row>
    <row r="51" spans="1:28" ht="15">
      <c r="A51" s="164">
        <v>242</v>
      </c>
      <c r="B51" s="168">
        <v>93</v>
      </c>
      <c r="C51" s="175">
        <v>0</v>
      </c>
      <c r="D51" s="166">
        <v>0.9</v>
      </c>
      <c r="E51" s="55"/>
      <c r="F51" s="166">
        <v>27.3</v>
      </c>
      <c r="G51" s="55"/>
      <c r="H51" s="165">
        <v>22</v>
      </c>
      <c r="I51" s="55"/>
      <c r="J51" s="55"/>
      <c r="K51" s="55"/>
      <c r="L51" s="166">
        <v>0</v>
      </c>
      <c r="M51" s="55"/>
      <c r="N51" s="55"/>
      <c r="O51" s="168">
        <v>35</v>
      </c>
      <c r="P51" s="55"/>
      <c r="Q51" s="55"/>
      <c r="R51" s="55"/>
      <c r="S51" s="55"/>
      <c r="T51" s="170">
        <v>0</v>
      </c>
      <c r="U51" s="169">
        <v>0</v>
      </c>
      <c r="V51" s="171">
        <v>0</v>
      </c>
      <c r="W51" s="55"/>
      <c r="X51" s="172">
        <v>0</v>
      </c>
      <c r="Y51" s="55"/>
      <c r="Z51" s="170">
        <v>0</v>
      </c>
      <c r="AA51" s="168">
        <v>0</v>
      </c>
      <c r="AB51" s="167">
        <v>997112</v>
      </c>
    </row>
    <row r="52" spans="1:28" ht="15">
      <c r="A52" s="164">
        <v>243</v>
      </c>
      <c r="B52" s="168">
        <v>491</v>
      </c>
      <c r="C52" s="175">
        <v>0</v>
      </c>
      <c r="D52" s="166">
        <v>147.4</v>
      </c>
      <c r="E52" s="55"/>
      <c r="F52" s="166">
        <v>0</v>
      </c>
      <c r="G52" s="55"/>
      <c r="H52" s="165">
        <v>175</v>
      </c>
      <c r="I52" s="55"/>
      <c r="J52" s="55"/>
      <c r="K52" s="55"/>
      <c r="L52" s="166">
        <v>0</v>
      </c>
      <c r="M52" s="55"/>
      <c r="N52" s="55"/>
      <c r="O52" s="168">
        <v>125</v>
      </c>
      <c r="P52" s="55"/>
      <c r="Q52" s="55"/>
      <c r="R52" s="55"/>
      <c r="S52" s="55"/>
      <c r="T52" s="170">
        <v>2</v>
      </c>
      <c r="U52" s="169">
        <v>0</v>
      </c>
      <c r="V52" s="171">
        <v>0</v>
      </c>
      <c r="W52" s="55"/>
      <c r="X52" s="172">
        <v>0</v>
      </c>
      <c r="Y52" s="55"/>
      <c r="Z52" s="170">
        <v>0</v>
      </c>
      <c r="AA52" s="168">
        <v>0</v>
      </c>
      <c r="AB52" s="167">
        <v>3810750</v>
      </c>
    </row>
    <row r="53" spans="1:28" ht="15">
      <c r="A53" s="164">
        <v>244</v>
      </c>
      <c r="B53" s="168">
        <v>814.5</v>
      </c>
      <c r="C53" s="175">
        <v>4.5</v>
      </c>
      <c r="D53" s="166">
        <v>239.9</v>
      </c>
      <c r="E53" s="55"/>
      <c r="F53" s="166">
        <v>5</v>
      </c>
      <c r="G53" s="55"/>
      <c r="H53" s="165">
        <v>231</v>
      </c>
      <c r="I53" s="55"/>
      <c r="J53" s="55"/>
      <c r="K53" s="55"/>
      <c r="L53" s="166">
        <v>0</v>
      </c>
      <c r="M53" s="55"/>
      <c r="N53" s="55"/>
      <c r="O53" s="168">
        <v>232</v>
      </c>
      <c r="P53" s="55"/>
      <c r="Q53" s="55"/>
      <c r="R53" s="55"/>
      <c r="S53" s="55"/>
      <c r="T53" s="170">
        <v>0</v>
      </c>
      <c r="U53" s="169">
        <v>0</v>
      </c>
      <c r="V53" s="171">
        <v>0</v>
      </c>
      <c r="W53" s="55"/>
      <c r="X53" s="172">
        <v>0</v>
      </c>
      <c r="Y53" s="55"/>
      <c r="Z53" s="170">
        <v>0</v>
      </c>
      <c r="AA53" s="168">
        <v>0</v>
      </c>
      <c r="AB53" s="167">
        <v>6074786</v>
      </c>
    </row>
    <row r="54" spans="1:28" ht="15">
      <c r="A54" s="164">
        <v>245</v>
      </c>
      <c r="B54" s="168">
        <v>198</v>
      </c>
      <c r="C54" s="175">
        <v>0</v>
      </c>
      <c r="D54" s="166">
        <v>18.399999999999999</v>
      </c>
      <c r="E54" s="55"/>
      <c r="F54" s="166">
        <v>0</v>
      </c>
      <c r="G54" s="55"/>
      <c r="H54" s="165">
        <v>73</v>
      </c>
      <c r="I54" s="55"/>
      <c r="J54" s="55"/>
      <c r="K54" s="55"/>
      <c r="L54" s="166">
        <v>0</v>
      </c>
      <c r="M54" s="55"/>
      <c r="N54" s="55"/>
      <c r="O54" s="168">
        <v>108</v>
      </c>
      <c r="P54" s="55"/>
      <c r="Q54" s="55"/>
      <c r="R54" s="55"/>
      <c r="S54" s="55"/>
      <c r="T54" s="170">
        <v>0</v>
      </c>
      <c r="U54" s="169">
        <v>0</v>
      </c>
      <c r="V54" s="171">
        <v>0</v>
      </c>
      <c r="W54" s="55"/>
      <c r="X54" s="172">
        <v>0</v>
      </c>
      <c r="Y54" s="55"/>
      <c r="Z54" s="170">
        <v>0</v>
      </c>
      <c r="AA54" s="168">
        <v>0</v>
      </c>
      <c r="AB54" s="167">
        <v>1938958</v>
      </c>
    </row>
    <row r="55" spans="1:28" ht="15">
      <c r="A55" s="164">
        <v>246</v>
      </c>
      <c r="B55" s="168">
        <v>480</v>
      </c>
      <c r="C55" s="175">
        <v>6</v>
      </c>
      <c r="D55" s="166">
        <v>0.3</v>
      </c>
      <c r="E55" s="55"/>
      <c r="F55" s="166">
        <v>0</v>
      </c>
      <c r="G55" s="55"/>
      <c r="H55" s="165">
        <v>308</v>
      </c>
      <c r="I55" s="55"/>
      <c r="J55" s="55"/>
      <c r="K55" s="55"/>
      <c r="L55" s="166">
        <v>0</v>
      </c>
      <c r="M55" s="55"/>
      <c r="N55" s="55"/>
      <c r="O55" s="168">
        <v>229</v>
      </c>
      <c r="P55" s="55"/>
      <c r="Q55" s="55"/>
      <c r="R55" s="55"/>
      <c r="S55" s="55"/>
      <c r="T55" s="170">
        <v>0</v>
      </c>
      <c r="U55" s="169">
        <v>0</v>
      </c>
      <c r="V55" s="171">
        <v>0</v>
      </c>
      <c r="W55" s="55"/>
      <c r="X55" s="172">
        <v>0</v>
      </c>
      <c r="Y55" s="55"/>
      <c r="Z55" s="170">
        <v>0</v>
      </c>
      <c r="AA55" s="168">
        <v>0</v>
      </c>
      <c r="AB55" s="167">
        <v>4077107</v>
      </c>
    </row>
    <row r="56" spans="1:28" ht="15">
      <c r="A56" s="164">
        <v>247</v>
      </c>
      <c r="B56" s="168">
        <v>615.5</v>
      </c>
      <c r="C56" s="175">
        <v>7.5</v>
      </c>
      <c r="D56" s="166">
        <v>160.30000000000001</v>
      </c>
      <c r="E56" s="55"/>
      <c r="F56" s="166">
        <v>0</v>
      </c>
      <c r="G56" s="55"/>
      <c r="H56" s="165">
        <v>285</v>
      </c>
      <c r="I56" s="55"/>
      <c r="J56" s="55"/>
      <c r="K56" s="55"/>
      <c r="L56" s="166">
        <v>0</v>
      </c>
      <c r="M56" s="55"/>
      <c r="N56" s="55"/>
      <c r="O56" s="168">
        <v>357</v>
      </c>
      <c r="P56" s="55"/>
      <c r="Q56" s="55"/>
      <c r="R56" s="55"/>
      <c r="S56" s="55"/>
      <c r="T56" s="170">
        <v>0</v>
      </c>
      <c r="U56" s="169">
        <v>0</v>
      </c>
      <c r="V56" s="171">
        <v>0</v>
      </c>
      <c r="W56" s="55"/>
      <c r="X56" s="172">
        <v>0</v>
      </c>
      <c r="Y56" s="55"/>
      <c r="Z56" s="170">
        <v>0</v>
      </c>
      <c r="AA56" s="168">
        <v>0</v>
      </c>
      <c r="AB56" s="167">
        <v>5119124</v>
      </c>
    </row>
    <row r="57" spans="1:28" ht="15">
      <c r="A57" s="164">
        <v>248</v>
      </c>
      <c r="B57" s="168">
        <v>975</v>
      </c>
      <c r="C57" s="175">
        <v>7</v>
      </c>
      <c r="D57" s="166">
        <v>284.8</v>
      </c>
      <c r="E57" s="55"/>
      <c r="F57" s="166">
        <v>23.3</v>
      </c>
      <c r="G57" s="55"/>
      <c r="H57" s="165">
        <v>413</v>
      </c>
      <c r="I57" s="55"/>
      <c r="J57" s="55"/>
      <c r="K57" s="55"/>
      <c r="L57" s="166">
        <v>0</v>
      </c>
      <c r="M57" s="55"/>
      <c r="N57" s="55"/>
      <c r="O57" s="168">
        <v>344</v>
      </c>
      <c r="P57" s="55"/>
      <c r="Q57" s="55"/>
      <c r="R57" s="55"/>
      <c r="S57" s="55"/>
      <c r="T57" s="170">
        <v>0</v>
      </c>
      <c r="U57" s="169">
        <v>0</v>
      </c>
      <c r="V57" s="171">
        <v>0</v>
      </c>
      <c r="W57" s="55"/>
      <c r="X57" s="172">
        <v>0</v>
      </c>
      <c r="Y57" s="55"/>
      <c r="Z57" s="170">
        <v>0</v>
      </c>
      <c r="AA57" s="168">
        <v>0</v>
      </c>
      <c r="AB57" s="167">
        <v>7145972</v>
      </c>
    </row>
    <row r="58" spans="1:28" ht="15">
      <c r="A58" s="164">
        <v>249</v>
      </c>
      <c r="B58" s="168">
        <v>881.5</v>
      </c>
      <c r="C58" s="175">
        <v>7</v>
      </c>
      <c r="D58" s="166">
        <v>168.2</v>
      </c>
      <c r="E58" s="55"/>
      <c r="F58" s="166">
        <v>9.6</v>
      </c>
      <c r="G58" s="55"/>
      <c r="H58" s="165">
        <v>325</v>
      </c>
      <c r="I58" s="55"/>
      <c r="J58" s="55"/>
      <c r="K58" s="55"/>
      <c r="L58" s="166">
        <v>0</v>
      </c>
      <c r="M58" s="55"/>
      <c r="N58" s="55"/>
      <c r="O58" s="168">
        <v>103</v>
      </c>
      <c r="P58" s="55"/>
      <c r="Q58" s="55"/>
      <c r="R58" s="55"/>
      <c r="S58" s="55"/>
      <c r="T58" s="170">
        <v>0</v>
      </c>
      <c r="U58" s="169">
        <v>0</v>
      </c>
      <c r="V58" s="171">
        <v>0</v>
      </c>
      <c r="W58" s="55"/>
      <c r="X58" s="172">
        <v>0</v>
      </c>
      <c r="Y58" s="55"/>
      <c r="Z58" s="170">
        <v>0</v>
      </c>
      <c r="AA58" s="168">
        <v>0</v>
      </c>
      <c r="AB58" s="167">
        <v>5865232</v>
      </c>
    </row>
    <row r="59" spans="1:28" ht="15">
      <c r="A59" s="164">
        <v>250</v>
      </c>
      <c r="B59" s="168">
        <v>2819.4</v>
      </c>
      <c r="C59" s="175">
        <v>20</v>
      </c>
      <c r="D59" s="166">
        <v>364.9</v>
      </c>
      <c r="E59" s="55"/>
      <c r="F59" s="166">
        <v>706.1</v>
      </c>
      <c r="G59" s="55"/>
      <c r="H59" s="165">
        <v>1747</v>
      </c>
      <c r="I59" s="55"/>
      <c r="J59" s="55"/>
      <c r="K59" s="55"/>
      <c r="L59" s="166">
        <v>0</v>
      </c>
      <c r="M59" s="55"/>
      <c r="N59" s="55"/>
      <c r="O59" s="168">
        <v>433.3</v>
      </c>
      <c r="P59" s="55"/>
      <c r="Q59" s="55"/>
      <c r="R59" s="55"/>
      <c r="S59" s="55"/>
      <c r="T59" s="170">
        <v>2</v>
      </c>
      <c r="U59" s="169">
        <v>0</v>
      </c>
      <c r="V59" s="171">
        <v>0</v>
      </c>
      <c r="W59" s="55"/>
      <c r="X59" s="172">
        <v>0</v>
      </c>
      <c r="Y59" s="55"/>
      <c r="Z59" s="170">
        <v>0</v>
      </c>
      <c r="AA59" s="168">
        <v>0</v>
      </c>
      <c r="AB59" s="167">
        <v>17853225</v>
      </c>
    </row>
    <row r="60" spans="1:28" ht="15">
      <c r="A60" s="164">
        <v>251</v>
      </c>
      <c r="B60" s="168">
        <v>432.8</v>
      </c>
      <c r="C60" s="175">
        <v>0</v>
      </c>
      <c r="D60" s="166">
        <v>82.7</v>
      </c>
      <c r="E60" s="55"/>
      <c r="F60" s="166">
        <v>0</v>
      </c>
      <c r="G60" s="55"/>
      <c r="H60" s="165">
        <v>205</v>
      </c>
      <c r="I60" s="55"/>
      <c r="J60" s="55"/>
      <c r="K60" s="55"/>
      <c r="L60" s="166">
        <v>0</v>
      </c>
      <c r="M60" s="55"/>
      <c r="N60" s="55"/>
      <c r="O60" s="168">
        <v>269</v>
      </c>
      <c r="P60" s="55"/>
      <c r="Q60" s="55"/>
      <c r="R60" s="55"/>
      <c r="S60" s="55"/>
      <c r="T60" s="170">
        <v>0</v>
      </c>
      <c r="U60" s="169">
        <v>0</v>
      </c>
      <c r="V60" s="171">
        <v>0</v>
      </c>
      <c r="W60" s="55"/>
      <c r="X60" s="172">
        <v>0</v>
      </c>
      <c r="Y60" s="55"/>
      <c r="Z60" s="170">
        <v>0</v>
      </c>
      <c r="AA60" s="168">
        <v>0</v>
      </c>
      <c r="AB60" s="167">
        <v>3666441</v>
      </c>
    </row>
    <row r="61" spans="1:28" ht="15">
      <c r="A61" s="164">
        <v>252</v>
      </c>
      <c r="B61" s="168">
        <v>514</v>
      </c>
      <c r="C61" s="175">
        <v>4</v>
      </c>
      <c r="D61" s="166">
        <v>191</v>
      </c>
      <c r="E61" s="55"/>
      <c r="F61" s="166">
        <v>0</v>
      </c>
      <c r="G61" s="55"/>
      <c r="H61" s="165">
        <v>186</v>
      </c>
      <c r="I61" s="55"/>
      <c r="J61" s="55"/>
      <c r="K61" s="55"/>
      <c r="L61" s="166">
        <v>0</v>
      </c>
      <c r="M61" s="55"/>
      <c r="N61" s="55"/>
      <c r="O61" s="168">
        <v>242</v>
      </c>
      <c r="P61" s="55"/>
      <c r="Q61" s="55"/>
      <c r="R61" s="55"/>
      <c r="S61" s="55"/>
      <c r="T61" s="170">
        <v>0</v>
      </c>
      <c r="U61" s="169">
        <v>0</v>
      </c>
      <c r="V61" s="171">
        <v>0</v>
      </c>
      <c r="W61" s="55"/>
      <c r="X61" s="172">
        <v>0</v>
      </c>
      <c r="Y61" s="55"/>
      <c r="Z61" s="170">
        <v>0</v>
      </c>
      <c r="AA61" s="168">
        <v>0</v>
      </c>
      <c r="AB61" s="167">
        <v>4147343</v>
      </c>
    </row>
    <row r="62" spans="1:28" ht="15">
      <c r="A62" s="164">
        <v>253</v>
      </c>
      <c r="B62" s="168">
        <v>4212.1000000000004</v>
      </c>
      <c r="C62" s="175">
        <v>71.5</v>
      </c>
      <c r="D62" s="166">
        <v>777.3</v>
      </c>
      <c r="E62" s="55"/>
      <c r="F62" s="166">
        <v>5868.1</v>
      </c>
      <c r="G62" s="55"/>
      <c r="H62" s="165">
        <v>2668</v>
      </c>
      <c r="I62" s="55"/>
      <c r="J62" s="55"/>
      <c r="K62" s="55"/>
      <c r="L62" s="166">
        <v>250</v>
      </c>
      <c r="M62" s="55"/>
      <c r="N62" s="55"/>
      <c r="O62" s="168">
        <v>1638</v>
      </c>
      <c r="P62" s="55"/>
      <c r="Q62" s="55"/>
      <c r="R62" s="55"/>
      <c r="S62" s="55"/>
      <c r="T62" s="170">
        <v>4</v>
      </c>
      <c r="U62" s="169">
        <v>8</v>
      </c>
      <c r="V62" s="171">
        <v>0</v>
      </c>
      <c r="W62" s="55"/>
      <c r="X62" s="178">
        <v>1</v>
      </c>
      <c r="Y62" s="55"/>
      <c r="Z62" s="170">
        <v>0</v>
      </c>
      <c r="AA62" s="168">
        <v>0</v>
      </c>
      <c r="AB62" s="167">
        <v>29227521</v>
      </c>
    </row>
    <row r="63" spans="1:28" ht="15">
      <c r="A63" s="164">
        <v>254</v>
      </c>
      <c r="B63" s="168">
        <v>448.5</v>
      </c>
      <c r="C63" s="175">
        <v>2.5</v>
      </c>
      <c r="D63" s="166">
        <v>61.2</v>
      </c>
      <c r="E63" s="55"/>
      <c r="F63" s="166">
        <v>0</v>
      </c>
      <c r="G63" s="55"/>
      <c r="H63" s="165">
        <v>162</v>
      </c>
      <c r="I63" s="55"/>
      <c r="J63" s="55"/>
      <c r="K63" s="55"/>
      <c r="L63" s="166">
        <v>0</v>
      </c>
      <c r="M63" s="55"/>
      <c r="N63" s="55"/>
      <c r="O63" s="168">
        <v>125</v>
      </c>
      <c r="P63" s="55"/>
      <c r="Q63" s="55"/>
      <c r="R63" s="55"/>
      <c r="S63" s="55"/>
      <c r="T63" s="170">
        <v>0</v>
      </c>
      <c r="U63" s="169">
        <v>0</v>
      </c>
      <c r="V63" s="171">
        <v>0</v>
      </c>
      <c r="W63" s="55"/>
      <c r="X63" s="172">
        <v>0</v>
      </c>
      <c r="Y63" s="55"/>
      <c r="Z63" s="170">
        <v>0</v>
      </c>
      <c r="AA63" s="168">
        <v>0</v>
      </c>
      <c r="AB63" s="167">
        <v>3630748</v>
      </c>
    </row>
    <row r="64" spans="1:28" ht="15">
      <c r="A64" s="164">
        <v>255</v>
      </c>
      <c r="B64" s="168">
        <v>235</v>
      </c>
      <c r="C64" s="175">
        <v>2</v>
      </c>
      <c r="D64" s="166">
        <v>73.7</v>
      </c>
      <c r="E64" s="55"/>
      <c r="F64" s="166">
        <v>0</v>
      </c>
      <c r="G64" s="55"/>
      <c r="H64" s="165">
        <v>80</v>
      </c>
      <c r="I64" s="55"/>
      <c r="J64" s="55"/>
      <c r="K64" s="55"/>
      <c r="L64" s="166">
        <v>0</v>
      </c>
      <c r="M64" s="55"/>
      <c r="N64" s="55"/>
      <c r="O64" s="168">
        <v>51</v>
      </c>
      <c r="P64" s="55"/>
      <c r="Q64" s="55"/>
      <c r="R64" s="55"/>
      <c r="S64" s="55"/>
      <c r="T64" s="170">
        <v>0</v>
      </c>
      <c r="U64" s="169">
        <v>0</v>
      </c>
      <c r="V64" s="171">
        <v>0</v>
      </c>
      <c r="W64" s="55"/>
      <c r="X64" s="172">
        <v>0</v>
      </c>
      <c r="Y64" s="55"/>
      <c r="Z64" s="170">
        <v>0</v>
      </c>
      <c r="AA64" s="168">
        <v>0</v>
      </c>
      <c r="AB64" s="167">
        <v>1976186</v>
      </c>
    </row>
    <row r="65" spans="1:28" ht="15">
      <c r="A65" s="164">
        <v>256</v>
      </c>
      <c r="B65" s="168">
        <v>277</v>
      </c>
      <c r="C65" s="175">
        <v>4.5</v>
      </c>
      <c r="D65" s="166">
        <v>91.2</v>
      </c>
      <c r="E65" s="55"/>
      <c r="F65" s="166">
        <v>0</v>
      </c>
      <c r="G65" s="55"/>
      <c r="H65" s="165">
        <v>136</v>
      </c>
      <c r="I65" s="55"/>
      <c r="J65" s="55"/>
      <c r="K65" s="55"/>
      <c r="L65" s="166">
        <v>0</v>
      </c>
      <c r="M65" s="55"/>
      <c r="N65" s="55"/>
      <c r="O65" s="168">
        <v>125</v>
      </c>
      <c r="P65" s="55"/>
      <c r="Q65" s="55"/>
      <c r="R65" s="55"/>
      <c r="S65" s="55"/>
      <c r="T65" s="170">
        <v>0</v>
      </c>
      <c r="U65" s="169">
        <v>0</v>
      </c>
      <c r="V65" s="171">
        <v>0</v>
      </c>
      <c r="W65" s="55"/>
      <c r="X65" s="172">
        <v>0</v>
      </c>
      <c r="Y65" s="55"/>
      <c r="Z65" s="170">
        <v>0</v>
      </c>
      <c r="AA65" s="168">
        <v>0</v>
      </c>
      <c r="AB65" s="167">
        <v>2870056</v>
      </c>
    </row>
    <row r="66" spans="1:28" ht="15">
      <c r="A66" s="164">
        <v>257</v>
      </c>
      <c r="B66" s="168">
        <v>1260</v>
      </c>
      <c r="C66" s="175">
        <v>15</v>
      </c>
      <c r="D66" s="166">
        <v>311.7</v>
      </c>
      <c r="E66" s="55"/>
      <c r="F66" s="166">
        <v>0</v>
      </c>
      <c r="G66" s="55"/>
      <c r="H66" s="165">
        <v>709</v>
      </c>
      <c r="I66" s="55"/>
      <c r="J66" s="55"/>
      <c r="K66" s="55"/>
      <c r="L66" s="166">
        <v>0</v>
      </c>
      <c r="M66" s="55"/>
      <c r="N66" s="55"/>
      <c r="O66" s="168">
        <v>361</v>
      </c>
      <c r="P66" s="55"/>
      <c r="Q66" s="55"/>
      <c r="R66" s="55"/>
      <c r="S66" s="55"/>
      <c r="T66" s="170">
        <v>0</v>
      </c>
      <c r="U66" s="169">
        <v>0</v>
      </c>
      <c r="V66" s="171">
        <v>0</v>
      </c>
      <c r="W66" s="55"/>
      <c r="X66" s="172">
        <v>0</v>
      </c>
      <c r="Y66" s="55"/>
      <c r="Z66" s="170">
        <v>0</v>
      </c>
      <c r="AA66" s="168">
        <v>0</v>
      </c>
      <c r="AB66" s="167">
        <v>9380840</v>
      </c>
    </row>
    <row r="67" spans="1:28" ht="15">
      <c r="A67" s="164">
        <v>258</v>
      </c>
      <c r="B67" s="168">
        <v>586.5</v>
      </c>
      <c r="C67" s="175">
        <v>5</v>
      </c>
      <c r="D67" s="166">
        <v>262.2</v>
      </c>
      <c r="E67" s="55"/>
      <c r="F67" s="166">
        <v>0</v>
      </c>
      <c r="G67" s="55"/>
      <c r="H67" s="165">
        <v>261</v>
      </c>
      <c r="I67" s="55"/>
      <c r="J67" s="55"/>
      <c r="K67" s="55"/>
      <c r="L67" s="166">
        <v>0</v>
      </c>
      <c r="M67" s="55"/>
      <c r="N67" s="55"/>
      <c r="O67" s="168">
        <v>88</v>
      </c>
      <c r="P67" s="55"/>
      <c r="Q67" s="55"/>
      <c r="R67" s="55"/>
      <c r="S67" s="55"/>
      <c r="T67" s="170">
        <v>149.4</v>
      </c>
      <c r="U67" s="169">
        <v>0</v>
      </c>
      <c r="V67" s="171">
        <v>0</v>
      </c>
      <c r="W67" s="55"/>
      <c r="X67" s="172">
        <v>0</v>
      </c>
      <c r="Y67" s="55"/>
      <c r="Z67" s="170">
        <v>0</v>
      </c>
      <c r="AA67" s="168">
        <v>0</v>
      </c>
      <c r="AB67" s="167">
        <v>4850464</v>
      </c>
    </row>
    <row r="68" spans="1:28" ht="15">
      <c r="A68" s="164">
        <v>259</v>
      </c>
      <c r="B68" s="168">
        <v>46096.4</v>
      </c>
      <c r="C68" s="175">
        <v>1002.5</v>
      </c>
      <c r="D68" s="166">
        <v>9505.9</v>
      </c>
      <c r="E68" s="55"/>
      <c r="F68" s="166">
        <v>35658.400000000001</v>
      </c>
      <c r="G68" s="55"/>
      <c r="H68" s="165">
        <v>34800</v>
      </c>
      <c r="I68" s="55"/>
      <c r="J68" s="55"/>
      <c r="K68" s="55"/>
      <c r="L68" s="166">
        <v>5501.1</v>
      </c>
      <c r="M68" s="55"/>
      <c r="N68" s="55"/>
      <c r="O68" s="168">
        <v>14491</v>
      </c>
      <c r="P68" s="55"/>
      <c r="Q68" s="55"/>
      <c r="R68" s="55"/>
      <c r="S68" s="55"/>
      <c r="T68" s="170">
        <v>246.5</v>
      </c>
      <c r="U68" s="169">
        <v>0</v>
      </c>
      <c r="V68" s="171">
        <v>8</v>
      </c>
      <c r="W68" s="55"/>
      <c r="X68" s="172">
        <v>0</v>
      </c>
      <c r="Y68" s="55"/>
      <c r="Z68" s="170">
        <v>0</v>
      </c>
      <c r="AA68" s="168">
        <v>0</v>
      </c>
      <c r="AB68" s="167">
        <v>325678479</v>
      </c>
    </row>
    <row r="69" spans="1:28" ht="15">
      <c r="A69" s="164">
        <v>260</v>
      </c>
      <c r="B69" s="168">
        <v>6347.3</v>
      </c>
      <c r="C69" s="175">
        <v>24.5</v>
      </c>
      <c r="D69" s="166">
        <v>1628.1</v>
      </c>
      <c r="E69" s="55"/>
      <c r="F69" s="166">
        <v>1435.7</v>
      </c>
      <c r="G69" s="55"/>
      <c r="H69" s="165">
        <v>2530</v>
      </c>
      <c r="I69" s="55"/>
      <c r="J69" s="55"/>
      <c r="K69" s="55"/>
      <c r="L69" s="166">
        <v>0</v>
      </c>
      <c r="M69" s="55"/>
      <c r="N69" s="55"/>
      <c r="O69" s="168">
        <v>1526</v>
      </c>
      <c r="P69" s="55"/>
      <c r="Q69" s="55"/>
      <c r="R69" s="55"/>
      <c r="S69" s="55"/>
      <c r="T69" s="170">
        <v>34.5</v>
      </c>
      <c r="U69" s="169">
        <v>0</v>
      </c>
      <c r="V69" s="171">
        <v>0</v>
      </c>
      <c r="W69" s="55"/>
      <c r="X69" s="178">
        <v>1</v>
      </c>
      <c r="Y69" s="55"/>
      <c r="Z69" s="170">
        <v>50</v>
      </c>
      <c r="AA69" s="168">
        <v>0</v>
      </c>
      <c r="AB69" s="167">
        <v>36899683</v>
      </c>
    </row>
    <row r="70" spans="1:28" ht="15">
      <c r="A70" s="164">
        <v>261</v>
      </c>
      <c r="B70" s="168">
        <v>5018.8999999999996</v>
      </c>
      <c r="C70" s="175">
        <v>75</v>
      </c>
      <c r="D70" s="166">
        <v>861.4</v>
      </c>
      <c r="E70" s="55"/>
      <c r="F70" s="166">
        <v>267</v>
      </c>
      <c r="G70" s="55"/>
      <c r="H70" s="165">
        <v>2517</v>
      </c>
      <c r="I70" s="55"/>
      <c r="J70" s="55"/>
      <c r="K70" s="55"/>
      <c r="L70" s="166">
        <v>0</v>
      </c>
      <c r="M70" s="55"/>
      <c r="N70" s="55"/>
      <c r="O70" s="168">
        <v>1766</v>
      </c>
      <c r="P70" s="55"/>
      <c r="Q70" s="55"/>
      <c r="R70" s="55"/>
      <c r="S70" s="55"/>
      <c r="T70" s="170">
        <v>0</v>
      </c>
      <c r="U70" s="169">
        <v>0</v>
      </c>
      <c r="V70" s="171">
        <v>0</v>
      </c>
      <c r="W70" s="55"/>
      <c r="X70" s="172">
        <v>0</v>
      </c>
      <c r="Y70" s="55"/>
      <c r="Z70" s="170">
        <v>0</v>
      </c>
      <c r="AA70" s="168">
        <v>0</v>
      </c>
      <c r="AB70" s="167">
        <v>31705718</v>
      </c>
    </row>
    <row r="71" spans="1:28" ht="15">
      <c r="A71" s="164">
        <v>262</v>
      </c>
      <c r="B71" s="168">
        <v>2584.5</v>
      </c>
      <c r="C71" s="175">
        <v>16</v>
      </c>
      <c r="D71" s="166">
        <v>1033.4000000000001</v>
      </c>
      <c r="E71" s="55"/>
      <c r="F71" s="166">
        <v>218.5</v>
      </c>
      <c r="G71" s="55"/>
      <c r="H71" s="165">
        <v>832</v>
      </c>
      <c r="I71" s="55"/>
      <c r="J71" s="55"/>
      <c r="K71" s="55"/>
      <c r="L71" s="166">
        <v>0</v>
      </c>
      <c r="M71" s="55"/>
      <c r="N71" s="55"/>
      <c r="O71" s="168">
        <v>1372</v>
      </c>
      <c r="P71" s="55"/>
      <c r="Q71" s="55"/>
      <c r="R71" s="55"/>
      <c r="S71" s="55"/>
      <c r="T71" s="170">
        <v>50.9</v>
      </c>
      <c r="U71" s="169">
        <v>0</v>
      </c>
      <c r="V71" s="171">
        <v>0</v>
      </c>
      <c r="W71" s="55"/>
      <c r="X71" s="172">
        <v>0</v>
      </c>
      <c r="Y71" s="55"/>
      <c r="Z71" s="170">
        <v>0</v>
      </c>
      <c r="AA71" s="168">
        <v>0</v>
      </c>
      <c r="AB71" s="167">
        <v>15352575</v>
      </c>
    </row>
    <row r="72" spans="1:28" ht="15">
      <c r="A72" s="164">
        <v>263</v>
      </c>
      <c r="B72" s="168">
        <v>1741.6</v>
      </c>
      <c r="C72" s="175">
        <v>15.5</v>
      </c>
      <c r="D72" s="166">
        <v>387.9</v>
      </c>
      <c r="E72" s="55"/>
      <c r="F72" s="166">
        <v>5.8</v>
      </c>
      <c r="G72" s="55"/>
      <c r="H72" s="165">
        <v>511</v>
      </c>
      <c r="I72" s="55"/>
      <c r="J72" s="55"/>
      <c r="K72" s="55"/>
      <c r="L72" s="166">
        <v>33.5</v>
      </c>
      <c r="M72" s="55"/>
      <c r="N72" s="55"/>
      <c r="O72" s="168">
        <v>429</v>
      </c>
      <c r="P72" s="55"/>
      <c r="Q72" s="55"/>
      <c r="R72" s="55"/>
      <c r="S72" s="55"/>
      <c r="T72" s="170">
        <v>0</v>
      </c>
      <c r="U72" s="169">
        <v>0</v>
      </c>
      <c r="V72" s="171">
        <v>0</v>
      </c>
      <c r="W72" s="55"/>
      <c r="X72" s="172">
        <v>0</v>
      </c>
      <c r="Y72" s="55"/>
      <c r="Z72" s="170">
        <v>0</v>
      </c>
      <c r="AA72" s="168">
        <v>0</v>
      </c>
      <c r="AB72" s="167">
        <v>9943980</v>
      </c>
    </row>
    <row r="73" spans="1:28" ht="15">
      <c r="A73" s="164">
        <v>264</v>
      </c>
      <c r="B73" s="168">
        <v>1132.5999999999999</v>
      </c>
      <c r="C73" s="175">
        <v>4</v>
      </c>
      <c r="D73" s="166">
        <v>83.7</v>
      </c>
      <c r="E73" s="55"/>
      <c r="F73" s="166">
        <v>0</v>
      </c>
      <c r="G73" s="55"/>
      <c r="H73" s="165">
        <v>252</v>
      </c>
      <c r="I73" s="55"/>
      <c r="J73" s="55"/>
      <c r="K73" s="55"/>
      <c r="L73" s="166">
        <v>0</v>
      </c>
      <c r="M73" s="55"/>
      <c r="N73" s="55"/>
      <c r="O73" s="168">
        <v>510.5</v>
      </c>
      <c r="P73" s="55"/>
      <c r="Q73" s="55"/>
      <c r="R73" s="55"/>
      <c r="S73" s="55"/>
      <c r="T73" s="170">
        <v>0</v>
      </c>
      <c r="U73" s="169">
        <v>0</v>
      </c>
      <c r="V73" s="171">
        <v>0</v>
      </c>
      <c r="W73" s="55"/>
      <c r="X73" s="172">
        <v>0</v>
      </c>
      <c r="Y73" s="55"/>
      <c r="Z73" s="170">
        <v>0</v>
      </c>
      <c r="AA73" s="168">
        <v>0</v>
      </c>
      <c r="AB73" s="167">
        <v>7508279</v>
      </c>
    </row>
    <row r="74" spans="1:28" ht="15">
      <c r="A74" s="164">
        <v>265</v>
      </c>
      <c r="B74" s="168">
        <v>5093.6000000000004</v>
      </c>
      <c r="C74" s="175">
        <v>30</v>
      </c>
      <c r="D74" s="166">
        <v>1210.8</v>
      </c>
      <c r="E74" s="55"/>
      <c r="F74" s="166">
        <v>630</v>
      </c>
      <c r="G74" s="55"/>
      <c r="H74" s="165">
        <v>1036</v>
      </c>
      <c r="I74" s="55"/>
      <c r="J74" s="55"/>
      <c r="K74" s="55"/>
      <c r="L74" s="166">
        <v>0</v>
      </c>
      <c r="M74" s="55"/>
      <c r="N74" s="55"/>
      <c r="O74" s="168">
        <v>3575</v>
      </c>
      <c r="P74" s="55"/>
      <c r="Q74" s="55"/>
      <c r="R74" s="55"/>
      <c r="S74" s="55"/>
      <c r="T74" s="170">
        <v>21</v>
      </c>
      <c r="U74" s="169">
        <v>0</v>
      </c>
      <c r="V74" s="171">
        <v>0</v>
      </c>
      <c r="W74" s="55"/>
      <c r="X74" s="172">
        <v>1</v>
      </c>
      <c r="Y74" s="55"/>
      <c r="Z74" s="170">
        <v>0</v>
      </c>
      <c r="AA74" s="168">
        <v>0</v>
      </c>
      <c r="AB74" s="167">
        <v>29876143</v>
      </c>
    </row>
    <row r="75" spans="1:28" ht="15">
      <c r="A75" s="164">
        <v>266</v>
      </c>
      <c r="B75" s="168">
        <v>6422.5</v>
      </c>
      <c r="C75" s="175">
        <v>18</v>
      </c>
      <c r="D75" s="166">
        <v>1919.9</v>
      </c>
      <c r="E75" s="55"/>
      <c r="F75" s="166">
        <v>80.5</v>
      </c>
      <c r="G75" s="55"/>
      <c r="H75" s="165">
        <v>1008</v>
      </c>
      <c r="I75" s="55"/>
      <c r="J75" s="55"/>
      <c r="K75" s="55"/>
      <c r="L75" s="166">
        <v>16</v>
      </c>
      <c r="M75" s="55"/>
      <c r="N75" s="55"/>
      <c r="O75" s="168">
        <v>4408</v>
      </c>
      <c r="P75" s="55"/>
      <c r="Q75" s="55"/>
      <c r="R75" s="55"/>
      <c r="S75" s="55"/>
      <c r="T75" s="170">
        <v>346.8</v>
      </c>
      <c r="U75" s="169">
        <v>20</v>
      </c>
      <c r="V75" s="171">
        <v>0</v>
      </c>
      <c r="W75" s="55"/>
      <c r="X75" s="172">
        <v>1</v>
      </c>
      <c r="Y75" s="55"/>
      <c r="Z75" s="170">
        <v>0</v>
      </c>
      <c r="AA75" s="168">
        <v>0</v>
      </c>
      <c r="AB75" s="167">
        <v>39040904</v>
      </c>
    </row>
    <row r="76" spans="1:28" ht="15">
      <c r="A76" s="164">
        <v>267</v>
      </c>
      <c r="B76" s="168">
        <v>1845.5</v>
      </c>
      <c r="C76" s="175">
        <v>0</v>
      </c>
      <c r="D76" s="166">
        <v>348.6</v>
      </c>
      <c r="E76" s="55"/>
      <c r="F76" s="166">
        <v>0</v>
      </c>
      <c r="G76" s="55"/>
      <c r="H76" s="165">
        <v>220</v>
      </c>
      <c r="I76" s="55"/>
      <c r="J76" s="55"/>
      <c r="K76" s="55"/>
      <c r="L76" s="166">
        <v>0</v>
      </c>
      <c r="M76" s="55"/>
      <c r="N76" s="55"/>
      <c r="O76" s="168">
        <v>757</v>
      </c>
      <c r="P76" s="55"/>
      <c r="Q76" s="55"/>
      <c r="R76" s="55"/>
      <c r="S76" s="55"/>
      <c r="T76" s="170">
        <v>0</v>
      </c>
      <c r="U76" s="169">
        <v>0</v>
      </c>
      <c r="V76" s="171">
        <v>0</v>
      </c>
      <c r="W76" s="55"/>
      <c r="X76" s="172">
        <v>0</v>
      </c>
      <c r="Y76" s="55"/>
      <c r="Z76" s="170">
        <v>0</v>
      </c>
      <c r="AA76" s="168">
        <v>0</v>
      </c>
      <c r="AB76" s="167">
        <v>10893811</v>
      </c>
    </row>
    <row r="77" spans="1:28" ht="15">
      <c r="A77" s="164">
        <v>268</v>
      </c>
      <c r="B77" s="168">
        <v>746.5</v>
      </c>
      <c r="C77" s="175">
        <v>11</v>
      </c>
      <c r="D77" s="166">
        <v>152.30000000000001</v>
      </c>
      <c r="E77" s="55"/>
      <c r="F77" s="166">
        <v>0</v>
      </c>
      <c r="G77" s="55"/>
      <c r="H77" s="165">
        <v>184</v>
      </c>
      <c r="I77" s="55"/>
      <c r="J77" s="55"/>
      <c r="K77" s="55"/>
      <c r="L77" s="166">
        <v>10.6</v>
      </c>
      <c r="M77" s="55"/>
      <c r="N77" s="55"/>
      <c r="O77" s="168">
        <v>211</v>
      </c>
      <c r="P77" s="55"/>
      <c r="Q77" s="55"/>
      <c r="R77" s="55"/>
      <c r="S77" s="55"/>
      <c r="T77" s="170">
        <v>0</v>
      </c>
      <c r="U77" s="169">
        <v>0</v>
      </c>
      <c r="V77" s="171">
        <v>0</v>
      </c>
      <c r="W77" s="55"/>
      <c r="X77" s="172">
        <v>0</v>
      </c>
      <c r="Y77" s="55"/>
      <c r="Z77" s="170">
        <v>0</v>
      </c>
      <c r="AA77" s="168">
        <v>0</v>
      </c>
      <c r="AB77" s="167">
        <v>5344786</v>
      </c>
    </row>
    <row r="78" spans="1:28" ht="15">
      <c r="A78" s="164">
        <v>269</v>
      </c>
      <c r="B78" s="168">
        <v>121.5</v>
      </c>
      <c r="C78" s="175">
        <v>0.5</v>
      </c>
      <c r="D78" s="166">
        <v>32.200000000000003</v>
      </c>
      <c r="E78" s="55"/>
      <c r="F78" s="166">
        <v>0</v>
      </c>
      <c r="G78" s="55"/>
      <c r="H78" s="165">
        <v>55</v>
      </c>
      <c r="I78" s="55"/>
      <c r="J78" s="55"/>
      <c r="K78" s="55"/>
      <c r="L78" s="166">
        <v>0</v>
      </c>
      <c r="M78" s="55"/>
      <c r="N78" s="55"/>
      <c r="O78" s="168">
        <v>77</v>
      </c>
      <c r="P78" s="55"/>
      <c r="Q78" s="55"/>
      <c r="R78" s="55"/>
      <c r="S78" s="55"/>
      <c r="T78" s="170">
        <v>0</v>
      </c>
      <c r="U78" s="169">
        <v>0</v>
      </c>
      <c r="V78" s="171">
        <v>0</v>
      </c>
      <c r="W78" s="55"/>
      <c r="X78" s="172">
        <v>0</v>
      </c>
      <c r="Y78" s="55"/>
      <c r="Z78" s="170">
        <v>0</v>
      </c>
      <c r="AA78" s="168">
        <v>0</v>
      </c>
      <c r="AB78" s="167">
        <v>1245815</v>
      </c>
    </row>
    <row r="79" spans="1:28" ht="15">
      <c r="A79" s="164">
        <v>270</v>
      </c>
      <c r="B79" s="168">
        <v>368.8</v>
      </c>
      <c r="C79" s="175">
        <v>0</v>
      </c>
      <c r="D79" s="166">
        <v>173.6</v>
      </c>
      <c r="E79" s="55"/>
      <c r="F79" s="166">
        <v>0</v>
      </c>
      <c r="G79" s="55"/>
      <c r="H79" s="165">
        <v>116</v>
      </c>
      <c r="I79" s="55"/>
      <c r="J79" s="55"/>
      <c r="K79" s="55"/>
      <c r="L79" s="166">
        <v>0</v>
      </c>
      <c r="M79" s="55"/>
      <c r="N79" s="55"/>
      <c r="O79" s="168">
        <v>36.6</v>
      </c>
      <c r="P79" s="55"/>
      <c r="Q79" s="55"/>
      <c r="R79" s="55"/>
      <c r="S79" s="55"/>
      <c r="T79" s="170">
        <v>0</v>
      </c>
      <c r="U79" s="169">
        <v>0</v>
      </c>
      <c r="V79" s="171">
        <v>0</v>
      </c>
      <c r="W79" s="55"/>
      <c r="X79" s="172">
        <v>0</v>
      </c>
      <c r="Y79" s="55"/>
      <c r="Z79" s="170">
        <v>0</v>
      </c>
      <c r="AA79" s="168">
        <v>0</v>
      </c>
      <c r="AB79" s="167">
        <v>2942978</v>
      </c>
    </row>
    <row r="80" spans="1:28" ht="15">
      <c r="A80" s="164">
        <v>271</v>
      </c>
      <c r="B80" s="168">
        <v>290.5</v>
      </c>
      <c r="C80" s="175">
        <v>3</v>
      </c>
      <c r="D80" s="166">
        <v>77.2</v>
      </c>
      <c r="E80" s="55"/>
      <c r="F80" s="166">
        <v>0</v>
      </c>
      <c r="G80" s="55"/>
      <c r="H80" s="165">
        <v>125</v>
      </c>
      <c r="I80" s="55"/>
      <c r="J80" s="55"/>
      <c r="K80" s="55"/>
      <c r="L80" s="166">
        <v>0</v>
      </c>
      <c r="M80" s="55"/>
      <c r="N80" s="55"/>
      <c r="O80" s="168">
        <v>65</v>
      </c>
      <c r="P80" s="55"/>
      <c r="Q80" s="55"/>
      <c r="R80" s="55"/>
      <c r="S80" s="55"/>
      <c r="T80" s="170">
        <v>0</v>
      </c>
      <c r="U80" s="169">
        <v>0</v>
      </c>
      <c r="V80" s="171">
        <v>0</v>
      </c>
      <c r="W80" s="55"/>
      <c r="X80" s="172">
        <v>0</v>
      </c>
      <c r="Y80" s="55"/>
      <c r="Z80" s="170">
        <v>0</v>
      </c>
      <c r="AA80" s="168">
        <v>0</v>
      </c>
      <c r="AB80" s="167">
        <v>2353078</v>
      </c>
    </row>
    <row r="81" spans="1:28" ht="15">
      <c r="A81" s="164">
        <v>272</v>
      </c>
      <c r="B81" s="168">
        <v>303.8</v>
      </c>
      <c r="C81" s="175">
        <v>6.5</v>
      </c>
      <c r="D81" s="166">
        <v>116.3</v>
      </c>
      <c r="E81" s="55"/>
      <c r="F81" s="166">
        <v>0</v>
      </c>
      <c r="G81" s="55"/>
      <c r="H81" s="165">
        <v>123</v>
      </c>
      <c r="I81" s="55"/>
      <c r="J81" s="55"/>
      <c r="K81" s="55"/>
      <c r="L81" s="166">
        <v>0</v>
      </c>
      <c r="M81" s="55"/>
      <c r="N81" s="55"/>
      <c r="O81" s="168">
        <v>137.5</v>
      </c>
      <c r="P81" s="55"/>
      <c r="Q81" s="55"/>
      <c r="R81" s="55"/>
      <c r="S81" s="55"/>
      <c r="T81" s="170">
        <v>0</v>
      </c>
      <c r="U81" s="169">
        <v>0</v>
      </c>
      <c r="V81" s="171">
        <v>0</v>
      </c>
      <c r="W81" s="55"/>
      <c r="X81" s="172">
        <v>0</v>
      </c>
      <c r="Y81" s="55"/>
      <c r="Z81" s="170">
        <v>0</v>
      </c>
      <c r="AA81" s="168">
        <v>0</v>
      </c>
      <c r="AB81" s="167">
        <v>2830141</v>
      </c>
    </row>
    <row r="82" spans="1:28" ht="15">
      <c r="A82" s="164">
        <v>273</v>
      </c>
      <c r="B82" s="168">
        <v>736.1</v>
      </c>
      <c r="C82" s="175">
        <v>12.5</v>
      </c>
      <c r="D82" s="166">
        <v>274.2</v>
      </c>
      <c r="E82" s="55"/>
      <c r="F82" s="166">
        <v>84</v>
      </c>
      <c r="G82" s="55"/>
      <c r="H82" s="165">
        <v>188</v>
      </c>
      <c r="I82" s="55"/>
      <c r="J82" s="55"/>
      <c r="K82" s="55"/>
      <c r="L82" s="166">
        <v>0</v>
      </c>
      <c r="M82" s="55"/>
      <c r="N82" s="55"/>
      <c r="O82" s="168">
        <v>135.5</v>
      </c>
      <c r="P82" s="55"/>
      <c r="Q82" s="55"/>
      <c r="R82" s="55"/>
      <c r="S82" s="55"/>
      <c r="T82" s="170">
        <v>0.5</v>
      </c>
      <c r="U82" s="169">
        <v>0</v>
      </c>
      <c r="V82" s="171">
        <v>0</v>
      </c>
      <c r="W82" s="55"/>
      <c r="X82" s="172">
        <v>0</v>
      </c>
      <c r="Y82" s="55"/>
      <c r="Z82" s="170">
        <v>0</v>
      </c>
      <c r="AA82" s="168">
        <v>0</v>
      </c>
      <c r="AB82" s="167">
        <v>5472220</v>
      </c>
    </row>
    <row r="83" spans="1:28" ht="15">
      <c r="A83" s="164">
        <v>274</v>
      </c>
      <c r="B83" s="168">
        <v>375.2</v>
      </c>
      <c r="C83" s="175">
        <v>0</v>
      </c>
      <c r="D83" s="166">
        <v>129.5</v>
      </c>
      <c r="E83" s="55"/>
      <c r="F83" s="166">
        <v>0</v>
      </c>
      <c r="G83" s="55"/>
      <c r="H83" s="165">
        <v>139</v>
      </c>
      <c r="I83" s="55"/>
      <c r="J83" s="55"/>
      <c r="K83" s="55"/>
      <c r="L83" s="166">
        <v>0</v>
      </c>
      <c r="M83" s="55"/>
      <c r="N83" s="55"/>
      <c r="O83" s="168">
        <v>75.7</v>
      </c>
      <c r="P83" s="55"/>
      <c r="Q83" s="55"/>
      <c r="R83" s="55"/>
      <c r="S83" s="55"/>
      <c r="T83" s="170">
        <v>0</v>
      </c>
      <c r="U83" s="169">
        <v>0</v>
      </c>
      <c r="V83" s="171">
        <v>0</v>
      </c>
      <c r="W83" s="55"/>
      <c r="X83" s="172">
        <v>0</v>
      </c>
      <c r="Y83" s="55"/>
      <c r="Z83" s="170">
        <v>0</v>
      </c>
      <c r="AA83" s="168">
        <v>0</v>
      </c>
      <c r="AB83" s="167">
        <v>3107629</v>
      </c>
    </row>
    <row r="84" spans="1:28" ht="15">
      <c r="A84" s="164">
        <v>275</v>
      </c>
      <c r="B84" s="168">
        <v>78.5</v>
      </c>
      <c r="C84" s="175">
        <v>0</v>
      </c>
      <c r="D84" s="166">
        <v>0</v>
      </c>
      <c r="E84" s="55"/>
      <c r="F84" s="166">
        <v>0</v>
      </c>
      <c r="G84" s="55"/>
      <c r="H84" s="165">
        <v>15</v>
      </c>
      <c r="I84" s="55"/>
      <c r="J84" s="55"/>
      <c r="K84" s="55"/>
      <c r="L84" s="166">
        <v>0</v>
      </c>
      <c r="M84" s="55"/>
      <c r="N84" s="55"/>
      <c r="O84" s="168">
        <v>37</v>
      </c>
      <c r="P84" s="55"/>
      <c r="Q84" s="55"/>
      <c r="R84" s="55"/>
      <c r="S84" s="55"/>
      <c r="T84" s="170">
        <v>0</v>
      </c>
      <c r="U84" s="169">
        <v>0</v>
      </c>
      <c r="V84" s="171">
        <v>0</v>
      </c>
      <c r="W84" s="55"/>
      <c r="X84" s="172">
        <v>0</v>
      </c>
      <c r="Y84" s="55"/>
      <c r="Z84" s="170">
        <v>0</v>
      </c>
      <c r="AA84" s="168">
        <v>0</v>
      </c>
      <c r="AB84" s="167">
        <v>981377</v>
      </c>
    </row>
    <row r="85" spans="1:28" ht="15">
      <c r="A85" s="164">
        <v>281</v>
      </c>
      <c r="B85" s="168">
        <v>348</v>
      </c>
      <c r="C85" s="175">
        <v>0</v>
      </c>
      <c r="D85" s="166">
        <v>135.1</v>
      </c>
      <c r="E85" s="55"/>
      <c r="F85" s="166">
        <v>0</v>
      </c>
      <c r="G85" s="55"/>
      <c r="H85" s="165">
        <v>118</v>
      </c>
      <c r="I85" s="55"/>
      <c r="J85" s="55"/>
      <c r="K85" s="55"/>
      <c r="L85" s="166">
        <v>0</v>
      </c>
      <c r="M85" s="55"/>
      <c r="N85" s="55"/>
      <c r="O85" s="168">
        <v>98.5</v>
      </c>
      <c r="P85" s="55"/>
      <c r="Q85" s="55"/>
      <c r="R85" s="55"/>
      <c r="S85" s="55"/>
      <c r="T85" s="170">
        <v>20.5</v>
      </c>
      <c r="U85" s="169">
        <v>0</v>
      </c>
      <c r="V85" s="171">
        <v>0</v>
      </c>
      <c r="W85" s="55"/>
      <c r="X85" s="172">
        <v>0</v>
      </c>
      <c r="Y85" s="55"/>
      <c r="Z85" s="170">
        <v>0</v>
      </c>
      <c r="AA85" s="168">
        <v>0</v>
      </c>
      <c r="AB85" s="167">
        <v>3048140</v>
      </c>
    </row>
    <row r="86" spans="1:28" ht="15">
      <c r="A86" s="164">
        <v>282</v>
      </c>
      <c r="B86" s="168">
        <v>313</v>
      </c>
      <c r="C86" s="175">
        <v>3</v>
      </c>
      <c r="D86" s="166">
        <v>129</v>
      </c>
      <c r="E86" s="55"/>
      <c r="F86" s="166">
        <v>0</v>
      </c>
      <c r="G86" s="55"/>
      <c r="H86" s="165">
        <v>159</v>
      </c>
      <c r="I86" s="55"/>
      <c r="J86" s="55"/>
      <c r="K86" s="55"/>
      <c r="L86" s="166">
        <v>0</v>
      </c>
      <c r="M86" s="55"/>
      <c r="N86" s="55"/>
      <c r="O86" s="168">
        <v>176</v>
      </c>
      <c r="P86" s="55"/>
      <c r="Q86" s="55"/>
      <c r="R86" s="55"/>
      <c r="S86" s="55"/>
      <c r="T86" s="170">
        <v>0</v>
      </c>
      <c r="U86" s="169">
        <v>0</v>
      </c>
      <c r="V86" s="171">
        <v>0</v>
      </c>
      <c r="W86" s="55"/>
      <c r="X86" s="172">
        <v>0</v>
      </c>
      <c r="Y86" s="55"/>
      <c r="Z86" s="170">
        <v>0</v>
      </c>
      <c r="AA86" s="168">
        <v>0</v>
      </c>
      <c r="AB86" s="167">
        <v>2766430</v>
      </c>
    </row>
    <row r="87" spans="1:28" ht="15">
      <c r="A87" s="164">
        <v>283</v>
      </c>
      <c r="B87" s="168">
        <v>134.5</v>
      </c>
      <c r="C87" s="175">
        <v>2.5</v>
      </c>
      <c r="D87" s="166">
        <v>94.7</v>
      </c>
      <c r="E87" s="55"/>
      <c r="F87" s="166">
        <v>0</v>
      </c>
      <c r="G87" s="55"/>
      <c r="H87" s="165">
        <v>90</v>
      </c>
      <c r="I87" s="55"/>
      <c r="J87" s="55"/>
      <c r="K87" s="55"/>
      <c r="L87" s="166">
        <v>0</v>
      </c>
      <c r="M87" s="55"/>
      <c r="N87" s="55"/>
      <c r="O87" s="168">
        <v>34</v>
      </c>
      <c r="P87" s="55"/>
      <c r="Q87" s="55"/>
      <c r="R87" s="55"/>
      <c r="S87" s="55"/>
      <c r="T87" s="170">
        <v>0</v>
      </c>
      <c r="U87" s="169">
        <v>0</v>
      </c>
      <c r="V87" s="171">
        <v>0</v>
      </c>
      <c r="W87" s="55"/>
      <c r="X87" s="172">
        <v>0</v>
      </c>
      <c r="Y87" s="55"/>
      <c r="Z87" s="170">
        <v>0</v>
      </c>
      <c r="AA87" s="168">
        <v>0</v>
      </c>
      <c r="AB87" s="167">
        <v>1767783</v>
      </c>
    </row>
    <row r="88" spans="1:28" ht="15">
      <c r="A88" s="164">
        <v>284</v>
      </c>
      <c r="B88" s="168">
        <v>364.5</v>
      </c>
      <c r="C88" s="175">
        <v>0</v>
      </c>
      <c r="D88" s="166">
        <v>102.3</v>
      </c>
      <c r="E88" s="55"/>
      <c r="F88" s="166">
        <v>0</v>
      </c>
      <c r="G88" s="55"/>
      <c r="H88" s="165">
        <v>110</v>
      </c>
      <c r="I88" s="55"/>
      <c r="J88" s="55"/>
      <c r="K88" s="55"/>
      <c r="L88" s="166">
        <v>0</v>
      </c>
      <c r="M88" s="55"/>
      <c r="N88" s="55"/>
      <c r="O88" s="168">
        <v>187</v>
      </c>
      <c r="P88" s="55"/>
      <c r="Q88" s="55"/>
      <c r="R88" s="55"/>
      <c r="S88" s="55"/>
      <c r="T88" s="170">
        <v>0</v>
      </c>
      <c r="U88" s="169">
        <v>0</v>
      </c>
      <c r="V88" s="171">
        <v>0</v>
      </c>
      <c r="W88" s="55"/>
      <c r="X88" s="172">
        <v>0</v>
      </c>
      <c r="Y88" s="55"/>
      <c r="Z88" s="170">
        <v>0</v>
      </c>
      <c r="AA88" s="168">
        <v>0</v>
      </c>
      <c r="AB88" s="167">
        <v>2820546</v>
      </c>
    </row>
    <row r="89" spans="1:28" ht="15">
      <c r="A89" s="164">
        <v>285</v>
      </c>
      <c r="B89" s="168">
        <v>163.9</v>
      </c>
      <c r="C89" s="175">
        <v>0</v>
      </c>
      <c r="D89" s="166">
        <v>5.7</v>
      </c>
      <c r="E89" s="55"/>
      <c r="F89" s="166">
        <v>0</v>
      </c>
      <c r="G89" s="55"/>
      <c r="H89" s="165">
        <v>89</v>
      </c>
      <c r="I89" s="55"/>
      <c r="J89" s="55"/>
      <c r="K89" s="55"/>
      <c r="L89" s="166">
        <v>0</v>
      </c>
      <c r="M89" s="55"/>
      <c r="N89" s="55"/>
      <c r="O89" s="168">
        <v>28</v>
      </c>
      <c r="P89" s="55"/>
      <c r="Q89" s="55"/>
      <c r="R89" s="55"/>
      <c r="S89" s="55"/>
      <c r="T89" s="170">
        <v>0</v>
      </c>
      <c r="U89" s="169">
        <v>0</v>
      </c>
      <c r="V89" s="171">
        <v>0</v>
      </c>
      <c r="W89" s="55"/>
      <c r="X89" s="172">
        <v>0</v>
      </c>
      <c r="Y89" s="55"/>
      <c r="Z89" s="170">
        <v>0</v>
      </c>
      <c r="AA89" s="168">
        <v>0</v>
      </c>
      <c r="AB89" s="167">
        <v>1712516</v>
      </c>
    </row>
    <row r="90" spans="1:28" ht="15">
      <c r="A90" s="164">
        <v>286</v>
      </c>
      <c r="B90" s="168">
        <v>334.4</v>
      </c>
      <c r="C90" s="175">
        <v>6</v>
      </c>
      <c r="D90" s="166">
        <v>82.5</v>
      </c>
      <c r="E90" s="55"/>
      <c r="F90" s="166">
        <v>0</v>
      </c>
      <c r="G90" s="55"/>
      <c r="H90" s="165">
        <v>181</v>
      </c>
      <c r="I90" s="55"/>
      <c r="J90" s="55"/>
      <c r="K90" s="55"/>
      <c r="L90" s="166">
        <v>0</v>
      </c>
      <c r="M90" s="55"/>
      <c r="N90" s="55"/>
      <c r="O90" s="168">
        <v>129</v>
      </c>
      <c r="P90" s="55"/>
      <c r="Q90" s="55"/>
      <c r="R90" s="55"/>
      <c r="S90" s="55"/>
      <c r="T90" s="170">
        <v>0</v>
      </c>
      <c r="U90" s="169">
        <v>0</v>
      </c>
      <c r="V90" s="171">
        <v>0</v>
      </c>
      <c r="W90" s="55"/>
      <c r="X90" s="172">
        <v>1</v>
      </c>
      <c r="Y90" s="55"/>
      <c r="Z90" s="170">
        <v>0</v>
      </c>
      <c r="AA90" s="168">
        <v>0</v>
      </c>
      <c r="AB90" s="167">
        <v>2923788</v>
      </c>
    </row>
    <row r="91" spans="1:28" ht="15">
      <c r="A91" s="164">
        <v>287</v>
      </c>
      <c r="B91" s="168">
        <v>582.5</v>
      </c>
      <c r="C91" s="175">
        <v>0</v>
      </c>
      <c r="D91" s="166">
        <v>276.10000000000002</v>
      </c>
      <c r="E91" s="55"/>
      <c r="F91" s="166">
        <v>0.5</v>
      </c>
      <c r="G91" s="55"/>
      <c r="H91" s="165">
        <v>291</v>
      </c>
      <c r="I91" s="55"/>
      <c r="J91" s="55"/>
      <c r="K91" s="55"/>
      <c r="L91" s="166">
        <v>0</v>
      </c>
      <c r="M91" s="55"/>
      <c r="N91" s="55"/>
      <c r="O91" s="168">
        <v>434</v>
      </c>
      <c r="P91" s="55"/>
      <c r="Q91" s="55"/>
      <c r="R91" s="55"/>
      <c r="S91" s="55"/>
      <c r="T91" s="170">
        <v>0</v>
      </c>
      <c r="U91" s="169">
        <v>0</v>
      </c>
      <c r="V91" s="171">
        <v>0</v>
      </c>
      <c r="W91" s="55"/>
      <c r="X91" s="172">
        <v>0</v>
      </c>
      <c r="Y91" s="55"/>
      <c r="Z91" s="170">
        <v>0</v>
      </c>
      <c r="AA91" s="168">
        <v>0</v>
      </c>
      <c r="AB91" s="167">
        <v>5179765</v>
      </c>
    </row>
    <row r="92" spans="1:28" ht="15">
      <c r="A92" s="164">
        <v>288</v>
      </c>
      <c r="B92" s="168">
        <v>546.5</v>
      </c>
      <c r="C92" s="175">
        <v>9</v>
      </c>
      <c r="D92" s="166">
        <v>342.2</v>
      </c>
      <c r="E92" s="55"/>
      <c r="F92" s="166">
        <v>1.7</v>
      </c>
      <c r="G92" s="55"/>
      <c r="H92" s="165">
        <v>325</v>
      </c>
      <c r="I92" s="55"/>
      <c r="J92" s="55"/>
      <c r="K92" s="55"/>
      <c r="L92" s="166">
        <v>0</v>
      </c>
      <c r="M92" s="55"/>
      <c r="N92" s="55"/>
      <c r="O92" s="168">
        <v>448</v>
      </c>
      <c r="P92" s="55"/>
      <c r="Q92" s="55"/>
      <c r="R92" s="55"/>
      <c r="S92" s="55"/>
      <c r="T92" s="170">
        <v>0</v>
      </c>
      <c r="U92" s="169">
        <v>0</v>
      </c>
      <c r="V92" s="171">
        <v>0</v>
      </c>
      <c r="W92" s="55"/>
      <c r="X92" s="172">
        <v>0</v>
      </c>
      <c r="Y92" s="55"/>
      <c r="Z92" s="170">
        <v>0</v>
      </c>
      <c r="AA92" s="168">
        <v>0</v>
      </c>
      <c r="AB92" s="167">
        <v>4537667</v>
      </c>
    </row>
    <row r="93" spans="1:28" ht="15">
      <c r="A93" s="164">
        <v>289</v>
      </c>
      <c r="B93" s="168">
        <v>762.4</v>
      </c>
      <c r="C93" s="175">
        <v>0</v>
      </c>
      <c r="D93" s="166">
        <v>77</v>
      </c>
      <c r="E93" s="55"/>
      <c r="F93" s="166">
        <v>0</v>
      </c>
      <c r="G93" s="55"/>
      <c r="H93" s="165">
        <v>216</v>
      </c>
      <c r="I93" s="55"/>
      <c r="J93" s="55"/>
      <c r="K93" s="55"/>
      <c r="L93" s="166">
        <v>0</v>
      </c>
      <c r="M93" s="55"/>
      <c r="N93" s="55"/>
      <c r="O93" s="168">
        <v>263</v>
      </c>
      <c r="P93" s="55"/>
      <c r="Q93" s="55"/>
      <c r="R93" s="55"/>
      <c r="S93" s="55"/>
      <c r="T93" s="170">
        <v>6</v>
      </c>
      <c r="U93" s="169">
        <v>0</v>
      </c>
      <c r="V93" s="171">
        <v>0</v>
      </c>
      <c r="W93" s="55"/>
      <c r="X93" s="172">
        <v>0</v>
      </c>
      <c r="Y93" s="55"/>
      <c r="Z93" s="170">
        <v>0</v>
      </c>
      <c r="AA93" s="168">
        <v>0</v>
      </c>
      <c r="AB93" s="167">
        <v>5498319</v>
      </c>
    </row>
    <row r="94" spans="1:28" ht="15">
      <c r="A94" s="164">
        <v>290</v>
      </c>
      <c r="B94" s="168">
        <v>2369.5</v>
      </c>
      <c r="C94" s="175">
        <v>19</v>
      </c>
      <c r="D94" s="166">
        <v>489.5</v>
      </c>
      <c r="E94" s="55"/>
      <c r="F94" s="166">
        <v>31.4</v>
      </c>
      <c r="G94" s="55"/>
      <c r="H94" s="165">
        <v>1200</v>
      </c>
      <c r="I94" s="55"/>
      <c r="J94" s="55"/>
      <c r="K94" s="55"/>
      <c r="L94" s="166">
        <v>46</v>
      </c>
      <c r="M94" s="55"/>
      <c r="N94" s="55"/>
      <c r="O94" s="168">
        <v>596</v>
      </c>
      <c r="P94" s="55"/>
      <c r="Q94" s="55"/>
      <c r="R94" s="55"/>
      <c r="S94" s="55"/>
      <c r="T94" s="170">
        <v>19</v>
      </c>
      <c r="U94" s="169">
        <v>0</v>
      </c>
      <c r="V94" s="171">
        <v>0</v>
      </c>
      <c r="W94" s="55"/>
      <c r="X94" s="172">
        <v>0</v>
      </c>
      <c r="Y94" s="55"/>
      <c r="Z94" s="170">
        <v>0</v>
      </c>
      <c r="AA94" s="168">
        <v>0</v>
      </c>
      <c r="AB94" s="167">
        <v>14736769</v>
      </c>
    </row>
    <row r="95" spans="1:28" ht="15">
      <c r="A95" s="164">
        <v>291</v>
      </c>
      <c r="B95" s="168">
        <v>90</v>
      </c>
      <c r="C95" s="175">
        <v>1</v>
      </c>
      <c r="D95" s="166">
        <v>7.4</v>
      </c>
      <c r="E95" s="55"/>
      <c r="F95" s="166">
        <v>0</v>
      </c>
      <c r="G95" s="55"/>
      <c r="H95" s="165">
        <v>34</v>
      </c>
      <c r="I95" s="55"/>
      <c r="J95" s="55"/>
      <c r="K95" s="55"/>
      <c r="L95" s="166">
        <v>0</v>
      </c>
      <c r="M95" s="55"/>
      <c r="N95" s="55"/>
      <c r="O95" s="168">
        <v>38</v>
      </c>
      <c r="P95" s="55"/>
      <c r="Q95" s="55"/>
      <c r="R95" s="55"/>
      <c r="S95" s="55"/>
      <c r="T95" s="170">
        <v>0</v>
      </c>
      <c r="U95" s="169">
        <v>0</v>
      </c>
      <c r="V95" s="171">
        <v>0</v>
      </c>
      <c r="W95" s="55"/>
      <c r="X95" s="172">
        <v>0</v>
      </c>
      <c r="Y95" s="55"/>
      <c r="Z95" s="170">
        <v>0</v>
      </c>
      <c r="AA95" s="168">
        <v>0</v>
      </c>
      <c r="AB95" s="167">
        <v>921120</v>
      </c>
    </row>
    <row r="96" spans="1:28" ht="15">
      <c r="A96" s="164">
        <v>292</v>
      </c>
      <c r="B96" s="168">
        <v>100.5</v>
      </c>
      <c r="C96" s="175">
        <v>0</v>
      </c>
      <c r="D96" s="166">
        <v>6</v>
      </c>
      <c r="E96" s="55"/>
      <c r="F96" s="166">
        <v>0</v>
      </c>
      <c r="G96" s="55"/>
      <c r="H96" s="165">
        <v>28</v>
      </c>
      <c r="I96" s="55"/>
      <c r="J96" s="55"/>
      <c r="K96" s="55"/>
      <c r="L96" s="166">
        <v>0</v>
      </c>
      <c r="M96" s="55"/>
      <c r="N96" s="55"/>
      <c r="O96" s="168">
        <v>70</v>
      </c>
      <c r="P96" s="55"/>
      <c r="Q96" s="55"/>
      <c r="R96" s="55"/>
      <c r="S96" s="55"/>
      <c r="T96" s="170">
        <v>0</v>
      </c>
      <c r="U96" s="169">
        <v>0</v>
      </c>
      <c r="V96" s="171">
        <v>0</v>
      </c>
      <c r="W96" s="55"/>
      <c r="X96" s="172">
        <v>0</v>
      </c>
      <c r="Y96" s="55"/>
      <c r="Z96" s="170">
        <v>0</v>
      </c>
      <c r="AA96" s="168">
        <v>0</v>
      </c>
      <c r="AB96" s="167">
        <v>1075791</v>
      </c>
    </row>
    <row r="97" spans="1:28" ht="15">
      <c r="A97" s="164">
        <v>293</v>
      </c>
      <c r="B97" s="168">
        <v>285.5</v>
      </c>
      <c r="C97" s="175">
        <v>3</v>
      </c>
      <c r="D97" s="166">
        <v>61.9</v>
      </c>
      <c r="E97" s="55"/>
      <c r="F97" s="166">
        <v>13.3</v>
      </c>
      <c r="G97" s="55"/>
      <c r="H97" s="165">
        <v>74</v>
      </c>
      <c r="I97" s="55"/>
      <c r="J97" s="55"/>
      <c r="K97" s="55"/>
      <c r="L97" s="166">
        <v>0</v>
      </c>
      <c r="M97" s="55"/>
      <c r="N97" s="55"/>
      <c r="O97" s="168">
        <v>57</v>
      </c>
      <c r="P97" s="55"/>
      <c r="Q97" s="55"/>
      <c r="R97" s="55"/>
      <c r="S97" s="55"/>
      <c r="T97" s="170">
        <v>0</v>
      </c>
      <c r="U97" s="169">
        <v>0</v>
      </c>
      <c r="V97" s="171">
        <v>0</v>
      </c>
      <c r="W97" s="55"/>
      <c r="X97" s="172">
        <v>0</v>
      </c>
      <c r="Y97" s="55"/>
      <c r="Z97" s="170">
        <v>0</v>
      </c>
      <c r="AA97" s="168">
        <v>0</v>
      </c>
      <c r="AB97" s="167">
        <v>2591418</v>
      </c>
    </row>
    <row r="98" spans="1:28" ht="15">
      <c r="A98" s="164">
        <v>294</v>
      </c>
      <c r="B98" s="168">
        <v>344.5</v>
      </c>
      <c r="C98" s="175">
        <v>0</v>
      </c>
      <c r="D98" s="166">
        <v>104.3</v>
      </c>
      <c r="E98" s="55"/>
      <c r="F98" s="166">
        <v>0.7</v>
      </c>
      <c r="G98" s="55"/>
      <c r="H98" s="165">
        <v>112</v>
      </c>
      <c r="I98" s="55"/>
      <c r="J98" s="55"/>
      <c r="K98" s="55"/>
      <c r="L98" s="166">
        <v>0</v>
      </c>
      <c r="M98" s="55"/>
      <c r="N98" s="55"/>
      <c r="O98" s="168">
        <v>74.5</v>
      </c>
      <c r="P98" s="55"/>
      <c r="Q98" s="55"/>
      <c r="R98" s="55"/>
      <c r="S98" s="55"/>
      <c r="T98" s="170">
        <v>0</v>
      </c>
      <c r="U98" s="169">
        <v>0</v>
      </c>
      <c r="V98" s="171">
        <v>0</v>
      </c>
      <c r="W98" s="55"/>
      <c r="X98" s="172">
        <v>0</v>
      </c>
      <c r="Y98" s="55"/>
      <c r="Z98" s="170">
        <v>0</v>
      </c>
      <c r="AA98" s="168">
        <v>0</v>
      </c>
      <c r="AB98" s="167">
        <v>2853115</v>
      </c>
    </row>
    <row r="99" spans="1:28" ht="15">
      <c r="A99" s="164">
        <v>297</v>
      </c>
      <c r="B99" s="168">
        <v>284</v>
      </c>
      <c r="C99" s="175">
        <v>0</v>
      </c>
      <c r="D99" s="166">
        <v>46.7</v>
      </c>
      <c r="E99" s="55"/>
      <c r="F99" s="166">
        <v>15</v>
      </c>
      <c r="G99" s="55"/>
      <c r="H99" s="165">
        <v>109</v>
      </c>
      <c r="I99" s="55"/>
      <c r="J99" s="55"/>
      <c r="K99" s="55"/>
      <c r="L99" s="166">
        <v>0</v>
      </c>
      <c r="M99" s="55"/>
      <c r="N99" s="55"/>
      <c r="O99" s="168">
        <v>51</v>
      </c>
      <c r="P99" s="55"/>
      <c r="Q99" s="55"/>
      <c r="R99" s="55"/>
      <c r="S99" s="55"/>
      <c r="T99" s="170">
        <v>0</v>
      </c>
      <c r="U99" s="169">
        <v>0</v>
      </c>
      <c r="V99" s="171">
        <v>0</v>
      </c>
      <c r="W99" s="55"/>
      <c r="X99" s="172">
        <v>0</v>
      </c>
      <c r="Y99" s="55"/>
      <c r="Z99" s="170">
        <v>0</v>
      </c>
      <c r="AA99" s="168">
        <v>0</v>
      </c>
      <c r="AB99" s="167">
        <v>2295124</v>
      </c>
    </row>
    <row r="100" spans="1:28" ht="15">
      <c r="A100" s="164">
        <v>298</v>
      </c>
      <c r="B100" s="168">
        <v>340.5</v>
      </c>
      <c r="C100" s="175">
        <v>6.5</v>
      </c>
      <c r="D100" s="166">
        <v>52.2</v>
      </c>
      <c r="E100" s="55"/>
      <c r="F100" s="166">
        <v>8.8000000000000007</v>
      </c>
      <c r="G100" s="55"/>
      <c r="H100" s="165">
        <v>149</v>
      </c>
      <c r="I100" s="55"/>
      <c r="J100" s="55"/>
      <c r="K100" s="55"/>
      <c r="L100" s="166">
        <v>0</v>
      </c>
      <c r="M100" s="55"/>
      <c r="N100" s="55"/>
      <c r="O100" s="168">
        <v>117.5</v>
      </c>
      <c r="P100" s="55"/>
      <c r="Q100" s="55"/>
      <c r="R100" s="55"/>
      <c r="S100" s="55"/>
      <c r="T100" s="170">
        <v>0</v>
      </c>
      <c r="U100" s="169">
        <v>0</v>
      </c>
      <c r="V100" s="171">
        <v>0</v>
      </c>
      <c r="W100" s="55"/>
      <c r="X100" s="172">
        <v>0</v>
      </c>
      <c r="Y100" s="55"/>
      <c r="Z100" s="170">
        <v>0</v>
      </c>
      <c r="AA100" s="168">
        <v>0</v>
      </c>
      <c r="AB100" s="167">
        <v>2955644</v>
      </c>
    </row>
    <row r="101" spans="1:28" ht="15">
      <c r="A101" s="164">
        <v>299</v>
      </c>
      <c r="B101" s="168">
        <v>216</v>
      </c>
      <c r="C101" s="175">
        <v>3</v>
      </c>
      <c r="D101" s="166">
        <v>36.299999999999997</v>
      </c>
      <c r="E101" s="55"/>
      <c r="F101" s="166">
        <v>0</v>
      </c>
      <c r="G101" s="55"/>
      <c r="H101" s="165">
        <v>83</v>
      </c>
      <c r="I101" s="55"/>
      <c r="J101" s="55"/>
      <c r="K101" s="55"/>
      <c r="L101" s="166">
        <v>0</v>
      </c>
      <c r="M101" s="55"/>
      <c r="N101" s="55"/>
      <c r="O101" s="168">
        <v>152</v>
      </c>
      <c r="P101" s="55"/>
      <c r="Q101" s="55"/>
      <c r="R101" s="55"/>
      <c r="S101" s="55"/>
      <c r="T101" s="170">
        <v>16</v>
      </c>
      <c r="U101" s="169">
        <v>0</v>
      </c>
      <c r="V101" s="171">
        <v>0</v>
      </c>
      <c r="W101" s="55"/>
      <c r="X101" s="172">
        <v>0</v>
      </c>
      <c r="Y101" s="55"/>
      <c r="Z101" s="170">
        <v>0</v>
      </c>
      <c r="AA101" s="168">
        <v>0</v>
      </c>
      <c r="AB101" s="167">
        <v>2160410</v>
      </c>
    </row>
    <row r="102" spans="1:28" ht="15">
      <c r="A102" s="164">
        <v>300</v>
      </c>
      <c r="B102" s="168">
        <v>324</v>
      </c>
      <c r="C102" s="175">
        <v>0</v>
      </c>
      <c r="D102" s="166">
        <v>65.099999999999994</v>
      </c>
      <c r="E102" s="55"/>
      <c r="F102" s="166">
        <v>0</v>
      </c>
      <c r="G102" s="55"/>
      <c r="H102" s="165">
        <v>81</v>
      </c>
      <c r="I102" s="55"/>
      <c r="J102" s="55"/>
      <c r="K102" s="55"/>
      <c r="L102" s="166">
        <v>0</v>
      </c>
      <c r="M102" s="55"/>
      <c r="N102" s="55"/>
      <c r="O102" s="168">
        <v>207</v>
      </c>
      <c r="P102" s="55"/>
      <c r="Q102" s="55"/>
      <c r="R102" s="55"/>
      <c r="S102" s="55"/>
      <c r="T102" s="170">
        <v>0</v>
      </c>
      <c r="U102" s="169">
        <v>0</v>
      </c>
      <c r="V102" s="171">
        <v>0</v>
      </c>
      <c r="W102" s="55"/>
      <c r="X102" s="172">
        <v>1</v>
      </c>
      <c r="Y102" s="55"/>
      <c r="Z102" s="170">
        <v>0</v>
      </c>
      <c r="AA102" s="168">
        <v>0</v>
      </c>
      <c r="AB102" s="167">
        <v>2766430</v>
      </c>
    </row>
    <row r="103" spans="1:28" ht="15">
      <c r="A103" s="164">
        <v>303</v>
      </c>
      <c r="B103" s="168">
        <v>298.89999999999998</v>
      </c>
      <c r="C103" s="175">
        <v>0</v>
      </c>
      <c r="D103" s="166">
        <v>95.5</v>
      </c>
      <c r="E103" s="55"/>
      <c r="F103" s="166">
        <v>60.7</v>
      </c>
      <c r="G103" s="55"/>
      <c r="H103" s="165">
        <v>91</v>
      </c>
      <c r="I103" s="55"/>
      <c r="J103" s="55"/>
      <c r="K103" s="55"/>
      <c r="L103" s="166">
        <v>0</v>
      </c>
      <c r="M103" s="55"/>
      <c r="N103" s="55"/>
      <c r="O103" s="168">
        <v>41.6</v>
      </c>
      <c r="P103" s="55"/>
      <c r="Q103" s="55"/>
      <c r="R103" s="55"/>
      <c r="S103" s="55"/>
      <c r="T103" s="170">
        <v>0</v>
      </c>
      <c r="U103" s="169">
        <v>0</v>
      </c>
      <c r="V103" s="171">
        <v>0</v>
      </c>
      <c r="W103" s="55"/>
      <c r="X103" s="172">
        <v>0</v>
      </c>
      <c r="Y103" s="55"/>
      <c r="Z103" s="170">
        <v>0</v>
      </c>
      <c r="AA103" s="168">
        <v>0</v>
      </c>
      <c r="AB103" s="167">
        <v>2398750</v>
      </c>
    </row>
    <row r="104" spans="1:28" ht="15">
      <c r="A104" s="164">
        <v>305</v>
      </c>
      <c r="B104" s="168">
        <v>6896.4</v>
      </c>
      <c r="C104" s="175">
        <v>30</v>
      </c>
      <c r="D104" s="166">
        <v>672.6</v>
      </c>
      <c r="E104" s="55"/>
      <c r="F104" s="166">
        <v>1500</v>
      </c>
      <c r="G104" s="55"/>
      <c r="H104" s="165">
        <v>3618</v>
      </c>
      <c r="I104" s="55"/>
      <c r="J104" s="55"/>
      <c r="K104" s="55"/>
      <c r="L104" s="166">
        <v>0</v>
      </c>
      <c r="M104" s="55"/>
      <c r="N104" s="55"/>
      <c r="O104" s="168">
        <v>1015.5</v>
      </c>
      <c r="P104" s="55"/>
      <c r="Q104" s="55"/>
      <c r="R104" s="55"/>
      <c r="S104" s="55"/>
      <c r="T104" s="170">
        <v>0</v>
      </c>
      <c r="U104" s="169">
        <v>0</v>
      </c>
      <c r="V104" s="171">
        <v>0</v>
      </c>
      <c r="W104" s="55"/>
      <c r="X104" s="172">
        <v>1</v>
      </c>
      <c r="Y104" s="55"/>
      <c r="Z104" s="170">
        <v>0</v>
      </c>
      <c r="AA104" s="168">
        <v>0</v>
      </c>
      <c r="AB104" s="167">
        <v>43636525</v>
      </c>
    </row>
    <row r="105" spans="1:28" ht="15">
      <c r="A105" s="164">
        <v>306</v>
      </c>
      <c r="B105" s="168">
        <v>720.9</v>
      </c>
      <c r="C105" s="175">
        <v>0</v>
      </c>
      <c r="D105" s="166">
        <v>183.9</v>
      </c>
      <c r="E105" s="55"/>
      <c r="F105" s="166">
        <v>0</v>
      </c>
      <c r="G105" s="55"/>
      <c r="H105" s="165">
        <v>126</v>
      </c>
      <c r="I105" s="55"/>
      <c r="J105" s="55"/>
      <c r="K105" s="55"/>
      <c r="L105" s="166">
        <v>0</v>
      </c>
      <c r="M105" s="55"/>
      <c r="N105" s="55"/>
      <c r="O105" s="168">
        <v>450</v>
      </c>
      <c r="P105" s="55"/>
      <c r="Q105" s="55"/>
      <c r="R105" s="55"/>
      <c r="S105" s="55"/>
      <c r="T105" s="170">
        <v>0</v>
      </c>
      <c r="U105" s="169">
        <v>0</v>
      </c>
      <c r="V105" s="171">
        <v>0</v>
      </c>
      <c r="W105" s="55"/>
      <c r="X105" s="172">
        <v>0</v>
      </c>
      <c r="Y105" s="55"/>
      <c r="Z105" s="170">
        <v>0</v>
      </c>
      <c r="AA105" s="168">
        <v>0</v>
      </c>
      <c r="AB105" s="167">
        <v>5023174</v>
      </c>
    </row>
    <row r="106" spans="1:28" ht="15">
      <c r="A106" s="164">
        <v>307</v>
      </c>
      <c r="B106" s="168">
        <v>491.7</v>
      </c>
      <c r="C106" s="175">
        <v>0</v>
      </c>
      <c r="D106" s="166">
        <v>128.30000000000001</v>
      </c>
      <c r="E106" s="55"/>
      <c r="F106" s="166">
        <v>44.6</v>
      </c>
      <c r="G106" s="55"/>
      <c r="H106" s="165">
        <v>156</v>
      </c>
      <c r="I106" s="55"/>
      <c r="J106" s="55"/>
      <c r="K106" s="55"/>
      <c r="L106" s="166">
        <v>0</v>
      </c>
      <c r="M106" s="55"/>
      <c r="N106" s="55"/>
      <c r="O106" s="168">
        <v>227</v>
      </c>
      <c r="P106" s="55"/>
      <c r="Q106" s="55"/>
      <c r="R106" s="55"/>
      <c r="S106" s="55"/>
      <c r="T106" s="170">
        <v>1</v>
      </c>
      <c r="U106" s="169">
        <v>0</v>
      </c>
      <c r="V106" s="171">
        <v>0</v>
      </c>
      <c r="W106" s="55"/>
      <c r="X106" s="172">
        <v>0</v>
      </c>
      <c r="Y106" s="55"/>
      <c r="Z106" s="170">
        <v>0</v>
      </c>
      <c r="AA106" s="168">
        <v>0</v>
      </c>
      <c r="AB106" s="167">
        <v>3657230</v>
      </c>
    </row>
    <row r="107" spans="1:28" ht="15">
      <c r="A107" s="164">
        <v>308</v>
      </c>
      <c r="B107" s="168">
        <v>4862.2</v>
      </c>
      <c r="C107" s="175">
        <v>28</v>
      </c>
      <c r="D107" s="166">
        <v>1186.9000000000001</v>
      </c>
      <c r="E107" s="55"/>
      <c r="F107" s="166">
        <v>817.8</v>
      </c>
      <c r="G107" s="55"/>
      <c r="H107" s="165">
        <v>2902</v>
      </c>
      <c r="I107" s="55"/>
      <c r="J107" s="55"/>
      <c r="K107" s="55"/>
      <c r="L107" s="166">
        <v>0</v>
      </c>
      <c r="M107" s="55"/>
      <c r="N107" s="55"/>
      <c r="O107" s="168">
        <v>81</v>
      </c>
      <c r="P107" s="55"/>
      <c r="Q107" s="55"/>
      <c r="R107" s="55"/>
      <c r="S107" s="55"/>
      <c r="T107" s="170">
        <v>12</v>
      </c>
      <c r="U107" s="169">
        <v>0</v>
      </c>
      <c r="V107" s="171">
        <v>0</v>
      </c>
      <c r="W107" s="55"/>
      <c r="X107" s="172">
        <v>0</v>
      </c>
      <c r="Y107" s="55"/>
      <c r="Z107" s="170">
        <v>0</v>
      </c>
      <c r="AA107" s="168">
        <v>0</v>
      </c>
      <c r="AB107" s="167">
        <v>30915339</v>
      </c>
    </row>
    <row r="108" spans="1:28" ht="15">
      <c r="A108" s="164">
        <v>309</v>
      </c>
      <c r="B108" s="168">
        <v>1098.5</v>
      </c>
      <c r="C108" s="175">
        <v>6</v>
      </c>
      <c r="D108" s="166">
        <v>181.6</v>
      </c>
      <c r="E108" s="55"/>
      <c r="F108" s="166">
        <v>96.5</v>
      </c>
      <c r="G108" s="55"/>
      <c r="H108" s="165">
        <v>547</v>
      </c>
      <c r="I108" s="55"/>
      <c r="J108" s="55"/>
      <c r="K108" s="55"/>
      <c r="L108" s="166">
        <v>0</v>
      </c>
      <c r="M108" s="55"/>
      <c r="N108" s="55"/>
      <c r="O108" s="168">
        <v>500.5</v>
      </c>
      <c r="P108" s="55"/>
      <c r="Q108" s="55"/>
      <c r="R108" s="55"/>
      <c r="S108" s="55"/>
      <c r="T108" s="170">
        <v>0</v>
      </c>
      <c r="U108" s="169">
        <v>0</v>
      </c>
      <c r="V108" s="171">
        <v>0</v>
      </c>
      <c r="W108" s="55"/>
      <c r="X108" s="172">
        <v>1</v>
      </c>
      <c r="Y108" s="55"/>
      <c r="Z108" s="170">
        <v>0</v>
      </c>
      <c r="AA108" s="168">
        <v>0</v>
      </c>
      <c r="AB108" s="167">
        <v>8078606</v>
      </c>
    </row>
    <row r="109" spans="1:28" ht="15">
      <c r="A109" s="164">
        <v>310</v>
      </c>
      <c r="B109" s="168">
        <v>271.5</v>
      </c>
      <c r="C109" s="175">
        <v>0</v>
      </c>
      <c r="D109" s="166">
        <v>91.7</v>
      </c>
      <c r="E109" s="55"/>
      <c r="F109" s="166">
        <v>38.799999999999997</v>
      </c>
      <c r="G109" s="55"/>
      <c r="H109" s="165">
        <v>163</v>
      </c>
      <c r="I109" s="55"/>
      <c r="J109" s="55"/>
      <c r="K109" s="55"/>
      <c r="L109" s="166">
        <v>0</v>
      </c>
      <c r="M109" s="55"/>
      <c r="N109" s="55"/>
      <c r="O109" s="168">
        <v>271</v>
      </c>
      <c r="P109" s="55"/>
      <c r="Q109" s="55"/>
      <c r="R109" s="55"/>
      <c r="S109" s="55"/>
      <c r="T109" s="170">
        <v>0</v>
      </c>
      <c r="U109" s="169">
        <v>0</v>
      </c>
      <c r="V109" s="171">
        <v>0</v>
      </c>
      <c r="W109" s="55"/>
      <c r="X109" s="172">
        <v>0</v>
      </c>
      <c r="Y109" s="55"/>
      <c r="Z109" s="170">
        <v>0</v>
      </c>
      <c r="AA109" s="168">
        <v>0</v>
      </c>
      <c r="AB109" s="167">
        <v>2814405</v>
      </c>
    </row>
    <row r="110" spans="1:28" ht="15">
      <c r="A110" s="164">
        <v>311</v>
      </c>
      <c r="B110" s="168">
        <v>275.3</v>
      </c>
      <c r="C110" s="175">
        <v>0</v>
      </c>
      <c r="D110" s="166">
        <v>168.7</v>
      </c>
      <c r="E110" s="55"/>
      <c r="F110" s="166">
        <v>0</v>
      </c>
      <c r="G110" s="55"/>
      <c r="H110" s="165">
        <v>85</v>
      </c>
      <c r="I110" s="55"/>
      <c r="J110" s="55"/>
      <c r="K110" s="55"/>
      <c r="L110" s="166">
        <v>0</v>
      </c>
      <c r="M110" s="55"/>
      <c r="N110" s="55"/>
      <c r="O110" s="168">
        <v>102</v>
      </c>
      <c r="P110" s="55"/>
      <c r="Q110" s="55"/>
      <c r="R110" s="55"/>
      <c r="S110" s="55"/>
      <c r="T110" s="170">
        <v>0</v>
      </c>
      <c r="U110" s="169">
        <v>0</v>
      </c>
      <c r="V110" s="171">
        <v>0</v>
      </c>
      <c r="W110" s="55"/>
      <c r="X110" s="172">
        <v>0</v>
      </c>
      <c r="Y110" s="55"/>
      <c r="Z110" s="170">
        <v>0</v>
      </c>
      <c r="AA110" s="168">
        <v>0</v>
      </c>
      <c r="AB110" s="167">
        <v>2285913</v>
      </c>
    </row>
    <row r="111" spans="1:28" ht="15">
      <c r="A111" s="164">
        <v>312</v>
      </c>
      <c r="B111" s="168">
        <v>856</v>
      </c>
      <c r="C111" s="175">
        <v>4.5</v>
      </c>
      <c r="D111" s="166">
        <v>378.2</v>
      </c>
      <c r="E111" s="55"/>
      <c r="F111" s="166">
        <v>166.5</v>
      </c>
      <c r="G111" s="55"/>
      <c r="H111" s="165">
        <v>279</v>
      </c>
      <c r="I111" s="55"/>
      <c r="J111" s="55"/>
      <c r="K111" s="55"/>
      <c r="L111" s="166">
        <v>0</v>
      </c>
      <c r="M111" s="55"/>
      <c r="N111" s="55"/>
      <c r="O111" s="168">
        <v>475</v>
      </c>
      <c r="P111" s="55"/>
      <c r="Q111" s="55"/>
      <c r="R111" s="55"/>
      <c r="S111" s="55"/>
      <c r="T111" s="170">
        <v>69.5</v>
      </c>
      <c r="U111" s="169">
        <v>0</v>
      </c>
      <c r="V111" s="171">
        <v>0</v>
      </c>
      <c r="W111" s="55"/>
      <c r="X111" s="172">
        <v>0</v>
      </c>
      <c r="Y111" s="55"/>
      <c r="Z111" s="170">
        <v>0</v>
      </c>
      <c r="AA111" s="168">
        <v>0</v>
      </c>
      <c r="AB111" s="167">
        <v>6684001</v>
      </c>
    </row>
    <row r="112" spans="1:28" ht="15">
      <c r="A112" s="164">
        <v>313</v>
      </c>
      <c r="B112" s="168">
        <v>2092.6</v>
      </c>
      <c r="C112" s="175">
        <v>20</v>
      </c>
      <c r="D112" s="166">
        <v>1096.8</v>
      </c>
      <c r="E112" s="55"/>
      <c r="F112" s="166">
        <v>66.5</v>
      </c>
      <c r="G112" s="55"/>
      <c r="H112" s="165">
        <v>648</v>
      </c>
      <c r="I112" s="55"/>
      <c r="J112" s="55"/>
      <c r="K112" s="55"/>
      <c r="L112" s="166">
        <v>0</v>
      </c>
      <c r="M112" s="55"/>
      <c r="N112" s="55"/>
      <c r="O112" s="168">
        <v>1130</v>
      </c>
      <c r="P112" s="55"/>
      <c r="Q112" s="55"/>
      <c r="R112" s="55"/>
      <c r="S112" s="55"/>
      <c r="T112" s="170">
        <v>0</v>
      </c>
      <c r="U112" s="169">
        <v>0</v>
      </c>
      <c r="V112" s="171">
        <v>0</v>
      </c>
      <c r="W112" s="55"/>
      <c r="X112" s="172">
        <v>0</v>
      </c>
      <c r="Y112" s="55"/>
      <c r="Z112" s="170">
        <v>0</v>
      </c>
      <c r="AA112" s="168">
        <v>0</v>
      </c>
      <c r="AB112" s="167">
        <v>13390014</v>
      </c>
    </row>
    <row r="113" spans="1:28" ht="15">
      <c r="A113" s="164">
        <v>314</v>
      </c>
      <c r="B113" s="168">
        <v>99</v>
      </c>
      <c r="C113" s="175">
        <v>0</v>
      </c>
      <c r="D113" s="166">
        <v>0</v>
      </c>
      <c r="E113" s="55"/>
      <c r="F113" s="166">
        <v>0</v>
      </c>
      <c r="G113" s="55"/>
      <c r="H113" s="165">
        <v>29</v>
      </c>
      <c r="I113" s="55"/>
      <c r="J113" s="55"/>
      <c r="K113" s="55"/>
      <c r="L113" s="166">
        <v>0</v>
      </c>
      <c r="M113" s="55"/>
      <c r="N113" s="55"/>
      <c r="O113" s="168">
        <v>29</v>
      </c>
      <c r="P113" s="55"/>
      <c r="Q113" s="55"/>
      <c r="R113" s="55"/>
      <c r="S113" s="55"/>
      <c r="T113" s="170">
        <v>0</v>
      </c>
      <c r="U113" s="169">
        <v>0</v>
      </c>
      <c r="V113" s="171">
        <v>0</v>
      </c>
      <c r="W113" s="55"/>
      <c r="X113" s="172">
        <v>0</v>
      </c>
      <c r="Y113" s="55"/>
      <c r="Z113" s="170">
        <v>0</v>
      </c>
      <c r="AA113" s="168">
        <v>0</v>
      </c>
      <c r="AB113" s="167">
        <v>965969</v>
      </c>
    </row>
    <row r="114" spans="1:28" ht="15">
      <c r="A114" s="164">
        <v>315</v>
      </c>
      <c r="B114" s="168">
        <v>914.1</v>
      </c>
      <c r="C114" s="175">
        <v>0</v>
      </c>
      <c r="D114" s="166">
        <v>328.4</v>
      </c>
      <c r="E114" s="55"/>
      <c r="F114" s="166">
        <v>73.8</v>
      </c>
      <c r="G114" s="55"/>
      <c r="H114" s="165">
        <v>292</v>
      </c>
      <c r="I114" s="55"/>
      <c r="J114" s="55"/>
      <c r="K114" s="55"/>
      <c r="L114" s="166">
        <v>0</v>
      </c>
      <c r="M114" s="55"/>
      <c r="N114" s="55"/>
      <c r="O114" s="168">
        <v>193</v>
      </c>
      <c r="P114" s="55"/>
      <c r="Q114" s="55"/>
      <c r="R114" s="55"/>
      <c r="S114" s="55"/>
      <c r="T114" s="170">
        <v>5.5</v>
      </c>
      <c r="U114" s="169">
        <v>0</v>
      </c>
      <c r="V114" s="171">
        <v>0</v>
      </c>
      <c r="W114" s="55"/>
      <c r="X114" s="172">
        <v>0</v>
      </c>
      <c r="Y114" s="55"/>
      <c r="Z114" s="170">
        <v>0</v>
      </c>
      <c r="AA114" s="168">
        <v>0</v>
      </c>
      <c r="AB114" s="167">
        <v>6363020</v>
      </c>
    </row>
    <row r="115" spans="1:28" ht="15">
      <c r="A115" s="164">
        <v>316</v>
      </c>
      <c r="B115" s="168">
        <v>188.5</v>
      </c>
      <c r="C115" s="175">
        <v>2</v>
      </c>
      <c r="D115" s="166">
        <v>11.9</v>
      </c>
      <c r="E115" s="55"/>
      <c r="F115" s="166">
        <v>54.9</v>
      </c>
      <c r="G115" s="55"/>
      <c r="H115" s="165">
        <v>91</v>
      </c>
      <c r="I115" s="55"/>
      <c r="J115" s="55"/>
      <c r="K115" s="55"/>
      <c r="L115" s="166">
        <v>0</v>
      </c>
      <c r="M115" s="55"/>
      <c r="N115" s="55"/>
      <c r="O115" s="168">
        <v>73.5</v>
      </c>
      <c r="P115" s="55"/>
      <c r="Q115" s="55"/>
      <c r="R115" s="55"/>
      <c r="S115" s="55"/>
      <c r="T115" s="170">
        <v>0</v>
      </c>
      <c r="U115" s="169">
        <v>0</v>
      </c>
      <c r="V115" s="171">
        <v>0</v>
      </c>
      <c r="W115" s="55"/>
      <c r="X115" s="172">
        <v>0</v>
      </c>
      <c r="Y115" s="55"/>
      <c r="Z115" s="170">
        <v>0</v>
      </c>
      <c r="AA115" s="168">
        <v>0</v>
      </c>
      <c r="AB115" s="167">
        <v>1925525</v>
      </c>
    </row>
    <row r="116" spans="1:28" ht="15">
      <c r="A116" s="164">
        <v>320</v>
      </c>
      <c r="B116" s="168">
        <v>1467.6</v>
      </c>
      <c r="C116" s="175">
        <v>0</v>
      </c>
      <c r="D116" s="166">
        <v>303.39999999999998</v>
      </c>
      <c r="E116" s="55"/>
      <c r="F116" s="166">
        <v>27.7</v>
      </c>
      <c r="G116" s="55"/>
      <c r="H116" s="165">
        <v>374</v>
      </c>
      <c r="I116" s="55"/>
      <c r="J116" s="55"/>
      <c r="K116" s="55"/>
      <c r="L116" s="166">
        <v>0</v>
      </c>
      <c r="M116" s="55"/>
      <c r="N116" s="55"/>
      <c r="O116" s="168">
        <v>414</v>
      </c>
      <c r="P116" s="55"/>
      <c r="Q116" s="55"/>
      <c r="R116" s="55"/>
      <c r="S116" s="55"/>
      <c r="T116" s="170">
        <v>0</v>
      </c>
      <c r="U116" s="169">
        <v>0</v>
      </c>
      <c r="V116" s="171">
        <v>0</v>
      </c>
      <c r="W116" s="55"/>
      <c r="X116" s="172">
        <v>1</v>
      </c>
      <c r="Y116" s="55"/>
      <c r="Z116" s="170">
        <v>0</v>
      </c>
      <c r="AA116" s="168">
        <v>0</v>
      </c>
      <c r="AB116" s="167">
        <v>9353974</v>
      </c>
    </row>
    <row r="117" spans="1:28" ht="15">
      <c r="A117" s="164">
        <v>321</v>
      </c>
      <c r="B117" s="168">
        <v>1118.5</v>
      </c>
      <c r="C117" s="175">
        <v>10</v>
      </c>
      <c r="D117" s="166">
        <v>250.3</v>
      </c>
      <c r="E117" s="55"/>
      <c r="F117" s="166">
        <v>0</v>
      </c>
      <c r="G117" s="55"/>
      <c r="H117" s="165">
        <v>379</v>
      </c>
      <c r="I117" s="55"/>
      <c r="J117" s="55"/>
      <c r="K117" s="55"/>
      <c r="L117" s="166">
        <v>0</v>
      </c>
      <c r="M117" s="55"/>
      <c r="N117" s="55"/>
      <c r="O117" s="168">
        <v>417</v>
      </c>
      <c r="P117" s="55"/>
      <c r="Q117" s="55"/>
      <c r="R117" s="55"/>
      <c r="S117" s="55"/>
      <c r="T117" s="170">
        <v>0</v>
      </c>
      <c r="U117" s="169">
        <v>0</v>
      </c>
      <c r="V117" s="171">
        <v>0</v>
      </c>
      <c r="W117" s="55"/>
      <c r="X117" s="172">
        <v>0</v>
      </c>
      <c r="Y117" s="55"/>
      <c r="Z117" s="170">
        <v>0</v>
      </c>
      <c r="AA117" s="168">
        <v>0</v>
      </c>
      <c r="AB117" s="167">
        <v>7755447</v>
      </c>
    </row>
    <row r="118" spans="1:28" ht="15">
      <c r="A118" s="164">
        <v>322</v>
      </c>
      <c r="B118" s="168">
        <v>304</v>
      </c>
      <c r="C118" s="175">
        <v>0</v>
      </c>
      <c r="D118" s="166">
        <v>94.9</v>
      </c>
      <c r="E118" s="55"/>
      <c r="F118" s="166">
        <v>0</v>
      </c>
      <c r="G118" s="55"/>
      <c r="H118" s="165">
        <v>96</v>
      </c>
      <c r="I118" s="55"/>
      <c r="J118" s="55"/>
      <c r="K118" s="55"/>
      <c r="L118" s="166">
        <v>0</v>
      </c>
      <c r="M118" s="55"/>
      <c r="N118" s="55"/>
      <c r="O118" s="168">
        <v>163.5</v>
      </c>
      <c r="P118" s="55"/>
      <c r="Q118" s="55"/>
      <c r="R118" s="55"/>
      <c r="S118" s="55"/>
      <c r="T118" s="170">
        <v>0</v>
      </c>
      <c r="U118" s="169">
        <v>0</v>
      </c>
      <c r="V118" s="171">
        <v>0</v>
      </c>
      <c r="W118" s="55"/>
      <c r="X118" s="172">
        <v>0</v>
      </c>
      <c r="Y118" s="55"/>
      <c r="Z118" s="170">
        <v>0</v>
      </c>
      <c r="AA118" s="168">
        <v>0</v>
      </c>
      <c r="AB118" s="167">
        <v>2527323</v>
      </c>
    </row>
    <row r="119" spans="1:28" ht="15">
      <c r="A119" s="164">
        <v>323</v>
      </c>
      <c r="B119" s="168">
        <v>856.3</v>
      </c>
      <c r="C119" s="175">
        <v>0</v>
      </c>
      <c r="D119" s="166">
        <v>120.3</v>
      </c>
      <c r="E119" s="55"/>
      <c r="F119" s="166">
        <v>0</v>
      </c>
      <c r="G119" s="55"/>
      <c r="H119" s="165">
        <v>203</v>
      </c>
      <c r="I119" s="55"/>
      <c r="J119" s="55"/>
      <c r="K119" s="55"/>
      <c r="L119" s="166">
        <v>0</v>
      </c>
      <c r="M119" s="55"/>
      <c r="N119" s="55"/>
      <c r="O119" s="168">
        <v>546.5</v>
      </c>
      <c r="P119" s="55"/>
      <c r="Q119" s="55"/>
      <c r="R119" s="55"/>
      <c r="S119" s="55"/>
      <c r="T119" s="170">
        <v>0</v>
      </c>
      <c r="U119" s="169">
        <v>0</v>
      </c>
      <c r="V119" s="171">
        <v>0</v>
      </c>
      <c r="W119" s="55"/>
      <c r="X119" s="172">
        <v>0</v>
      </c>
      <c r="Y119" s="55"/>
      <c r="Z119" s="170">
        <v>0</v>
      </c>
      <c r="AA119" s="168">
        <v>0</v>
      </c>
      <c r="AB119" s="167">
        <v>6142719</v>
      </c>
    </row>
    <row r="120" spans="1:28" ht="15">
      <c r="A120" s="164">
        <v>325</v>
      </c>
      <c r="B120" s="168">
        <v>586.5</v>
      </c>
      <c r="C120" s="175">
        <v>0</v>
      </c>
      <c r="D120" s="166">
        <v>54.4</v>
      </c>
      <c r="E120" s="55"/>
      <c r="F120" s="166">
        <v>1.7</v>
      </c>
      <c r="G120" s="55"/>
      <c r="H120" s="165">
        <v>207</v>
      </c>
      <c r="I120" s="55"/>
      <c r="J120" s="55"/>
      <c r="K120" s="55"/>
      <c r="L120" s="166">
        <v>0</v>
      </c>
      <c r="M120" s="55"/>
      <c r="N120" s="55"/>
      <c r="O120" s="168">
        <v>111</v>
      </c>
      <c r="P120" s="55"/>
      <c r="Q120" s="55"/>
      <c r="R120" s="55"/>
      <c r="S120" s="55"/>
      <c r="T120" s="170">
        <v>0</v>
      </c>
      <c r="U120" s="169">
        <v>0</v>
      </c>
      <c r="V120" s="171">
        <v>0</v>
      </c>
      <c r="W120" s="55"/>
      <c r="X120" s="172">
        <v>0</v>
      </c>
      <c r="Y120" s="55"/>
      <c r="Z120" s="170">
        <v>0</v>
      </c>
      <c r="AA120" s="168">
        <v>0</v>
      </c>
      <c r="AB120" s="167">
        <v>4475108</v>
      </c>
    </row>
    <row r="121" spans="1:28" ht="15">
      <c r="A121" s="164">
        <v>326</v>
      </c>
      <c r="B121" s="168">
        <v>168</v>
      </c>
      <c r="C121" s="175">
        <v>3</v>
      </c>
      <c r="D121" s="166">
        <v>88.5</v>
      </c>
      <c r="E121" s="55"/>
      <c r="F121" s="166">
        <v>0</v>
      </c>
      <c r="G121" s="55"/>
      <c r="H121" s="165">
        <v>74</v>
      </c>
      <c r="I121" s="55"/>
      <c r="J121" s="55"/>
      <c r="K121" s="55"/>
      <c r="L121" s="166">
        <v>0</v>
      </c>
      <c r="M121" s="55"/>
      <c r="N121" s="55"/>
      <c r="O121" s="168">
        <v>56.5</v>
      </c>
      <c r="P121" s="55"/>
      <c r="Q121" s="55"/>
      <c r="R121" s="55"/>
      <c r="S121" s="55"/>
      <c r="T121" s="170">
        <v>0</v>
      </c>
      <c r="U121" s="169">
        <v>0</v>
      </c>
      <c r="V121" s="171">
        <v>0</v>
      </c>
      <c r="W121" s="55"/>
      <c r="X121" s="172">
        <v>0</v>
      </c>
      <c r="Y121" s="55"/>
      <c r="Z121" s="170">
        <v>0</v>
      </c>
      <c r="AA121" s="168">
        <v>0</v>
      </c>
      <c r="AB121" s="167">
        <v>1766631</v>
      </c>
    </row>
    <row r="122" spans="1:28" ht="15">
      <c r="A122" s="164">
        <v>327</v>
      </c>
      <c r="B122" s="168">
        <v>581.5</v>
      </c>
      <c r="C122" s="175">
        <v>0</v>
      </c>
      <c r="D122" s="166">
        <v>107.3</v>
      </c>
      <c r="E122" s="55"/>
      <c r="F122" s="166">
        <v>5.8</v>
      </c>
      <c r="G122" s="55"/>
      <c r="H122" s="165">
        <v>176</v>
      </c>
      <c r="I122" s="55"/>
      <c r="J122" s="55"/>
      <c r="K122" s="55"/>
      <c r="L122" s="166">
        <v>0</v>
      </c>
      <c r="M122" s="55"/>
      <c r="N122" s="55"/>
      <c r="O122" s="168">
        <v>218</v>
      </c>
      <c r="P122" s="55"/>
      <c r="Q122" s="55"/>
      <c r="R122" s="55"/>
      <c r="S122" s="55"/>
      <c r="T122" s="170">
        <v>0</v>
      </c>
      <c r="U122" s="169">
        <v>0</v>
      </c>
      <c r="V122" s="171">
        <v>0</v>
      </c>
      <c r="W122" s="55"/>
      <c r="X122" s="172">
        <v>0</v>
      </c>
      <c r="Y122" s="55"/>
      <c r="Z122" s="170">
        <v>0</v>
      </c>
      <c r="AA122" s="168">
        <v>0</v>
      </c>
      <c r="AB122" s="167">
        <v>4280521</v>
      </c>
    </row>
    <row r="123" spans="1:28" ht="15">
      <c r="A123" s="164">
        <v>329</v>
      </c>
      <c r="B123" s="168">
        <v>471.5</v>
      </c>
      <c r="C123" s="175">
        <v>0</v>
      </c>
      <c r="D123" s="166">
        <v>218.5</v>
      </c>
      <c r="E123" s="55"/>
      <c r="F123" s="166">
        <v>0</v>
      </c>
      <c r="G123" s="55"/>
      <c r="H123" s="165">
        <v>130</v>
      </c>
      <c r="I123" s="55"/>
      <c r="J123" s="55"/>
      <c r="K123" s="55"/>
      <c r="L123" s="166">
        <v>0</v>
      </c>
      <c r="M123" s="55"/>
      <c r="N123" s="55"/>
      <c r="O123" s="168">
        <v>298</v>
      </c>
      <c r="P123" s="55"/>
      <c r="Q123" s="55"/>
      <c r="R123" s="55"/>
      <c r="S123" s="55"/>
      <c r="T123" s="170">
        <v>0</v>
      </c>
      <c r="U123" s="169">
        <v>0</v>
      </c>
      <c r="V123" s="171">
        <v>0</v>
      </c>
      <c r="W123" s="55"/>
      <c r="X123" s="172">
        <v>1</v>
      </c>
      <c r="Y123" s="55"/>
      <c r="Z123" s="170">
        <v>0</v>
      </c>
      <c r="AA123" s="168">
        <v>0</v>
      </c>
      <c r="AB123" s="167">
        <v>3702241</v>
      </c>
    </row>
    <row r="124" spans="1:28" ht="15">
      <c r="A124" s="164">
        <v>330</v>
      </c>
      <c r="B124" s="168">
        <v>474.1</v>
      </c>
      <c r="C124" s="175">
        <v>0</v>
      </c>
      <c r="D124" s="166">
        <v>205.2</v>
      </c>
      <c r="E124" s="55"/>
      <c r="F124" s="166">
        <v>0</v>
      </c>
      <c r="G124" s="55"/>
      <c r="H124" s="165">
        <v>132</v>
      </c>
      <c r="I124" s="55"/>
      <c r="J124" s="55"/>
      <c r="K124" s="55"/>
      <c r="L124" s="166">
        <v>0</v>
      </c>
      <c r="M124" s="55"/>
      <c r="N124" s="55"/>
      <c r="O124" s="168">
        <v>408</v>
      </c>
      <c r="P124" s="55"/>
      <c r="Q124" s="55"/>
      <c r="R124" s="55"/>
      <c r="S124" s="55"/>
      <c r="T124" s="170">
        <v>0</v>
      </c>
      <c r="U124" s="169">
        <v>0</v>
      </c>
      <c r="V124" s="171">
        <v>0</v>
      </c>
      <c r="W124" s="55"/>
      <c r="X124" s="172">
        <v>0</v>
      </c>
      <c r="Y124" s="55"/>
      <c r="Z124" s="170">
        <v>0</v>
      </c>
      <c r="AA124" s="168">
        <v>0</v>
      </c>
      <c r="AB124" s="167">
        <v>4009942</v>
      </c>
    </row>
    <row r="125" spans="1:28" ht="15">
      <c r="A125" s="164">
        <v>331</v>
      </c>
      <c r="B125" s="168">
        <v>926.6</v>
      </c>
      <c r="C125" s="175">
        <v>0</v>
      </c>
      <c r="D125" s="166">
        <v>349.1</v>
      </c>
      <c r="E125" s="55"/>
      <c r="F125" s="166">
        <v>0</v>
      </c>
      <c r="G125" s="55"/>
      <c r="H125" s="165">
        <v>367</v>
      </c>
      <c r="I125" s="55"/>
      <c r="J125" s="55"/>
      <c r="K125" s="55"/>
      <c r="L125" s="166">
        <v>0</v>
      </c>
      <c r="M125" s="55"/>
      <c r="N125" s="55"/>
      <c r="O125" s="168">
        <v>252.4</v>
      </c>
      <c r="P125" s="55"/>
      <c r="Q125" s="55"/>
      <c r="R125" s="55"/>
      <c r="S125" s="55"/>
      <c r="T125" s="170">
        <v>3</v>
      </c>
      <c r="U125" s="169">
        <v>0</v>
      </c>
      <c r="V125" s="171">
        <v>0</v>
      </c>
      <c r="W125" s="55"/>
      <c r="X125" s="172">
        <v>0</v>
      </c>
      <c r="Y125" s="55"/>
      <c r="Z125" s="170">
        <v>0</v>
      </c>
      <c r="AA125" s="168">
        <v>0</v>
      </c>
      <c r="AB125" s="167">
        <v>7091089</v>
      </c>
    </row>
    <row r="126" spans="1:28" ht="15">
      <c r="A126" s="164">
        <v>332</v>
      </c>
      <c r="B126" s="168">
        <v>155.1</v>
      </c>
      <c r="C126" s="175">
        <v>0</v>
      </c>
      <c r="D126" s="166">
        <v>0</v>
      </c>
      <c r="E126" s="55"/>
      <c r="F126" s="166">
        <v>0</v>
      </c>
      <c r="G126" s="55"/>
      <c r="H126" s="165">
        <v>52</v>
      </c>
      <c r="I126" s="55"/>
      <c r="J126" s="55"/>
      <c r="K126" s="55"/>
      <c r="L126" s="166">
        <v>0</v>
      </c>
      <c r="M126" s="55"/>
      <c r="N126" s="55"/>
      <c r="O126" s="168">
        <v>73</v>
      </c>
      <c r="P126" s="55"/>
      <c r="Q126" s="55"/>
      <c r="R126" s="55"/>
      <c r="S126" s="55"/>
      <c r="T126" s="170">
        <v>0</v>
      </c>
      <c r="U126" s="169">
        <v>0</v>
      </c>
      <c r="V126" s="171">
        <v>0</v>
      </c>
      <c r="W126" s="55"/>
      <c r="X126" s="172">
        <v>0</v>
      </c>
      <c r="Y126" s="55"/>
      <c r="Z126" s="170">
        <v>0</v>
      </c>
      <c r="AA126" s="168">
        <v>0</v>
      </c>
      <c r="AB126" s="167">
        <v>1699466</v>
      </c>
    </row>
    <row r="127" spans="1:28" ht="15">
      <c r="A127" s="164">
        <v>333</v>
      </c>
      <c r="B127" s="168">
        <v>997.5</v>
      </c>
      <c r="C127" s="175">
        <v>14</v>
      </c>
      <c r="D127" s="166">
        <v>230</v>
      </c>
      <c r="E127" s="55"/>
      <c r="F127" s="166">
        <v>4.8</v>
      </c>
      <c r="G127" s="55"/>
      <c r="H127" s="165">
        <v>437</v>
      </c>
      <c r="I127" s="55"/>
      <c r="J127" s="55"/>
      <c r="K127" s="55"/>
      <c r="L127" s="166">
        <v>0</v>
      </c>
      <c r="M127" s="55"/>
      <c r="N127" s="55"/>
      <c r="O127" s="168">
        <v>213</v>
      </c>
      <c r="P127" s="55"/>
      <c r="Q127" s="55"/>
      <c r="R127" s="55"/>
      <c r="S127" s="55"/>
      <c r="T127" s="170">
        <v>0</v>
      </c>
      <c r="U127" s="169">
        <v>0</v>
      </c>
      <c r="V127" s="171">
        <v>0</v>
      </c>
      <c r="W127" s="55"/>
      <c r="X127" s="172">
        <v>0</v>
      </c>
      <c r="Y127" s="55"/>
      <c r="Z127" s="170">
        <v>0</v>
      </c>
      <c r="AA127" s="168">
        <v>0</v>
      </c>
      <c r="AB127" s="167">
        <v>7405603</v>
      </c>
    </row>
    <row r="128" spans="1:28" ht="15">
      <c r="A128" s="164">
        <v>334</v>
      </c>
      <c r="B128" s="168">
        <v>229.8</v>
      </c>
      <c r="C128" s="175">
        <v>0</v>
      </c>
      <c r="D128" s="166">
        <v>32.1</v>
      </c>
      <c r="E128" s="55"/>
      <c r="F128" s="166">
        <v>0</v>
      </c>
      <c r="G128" s="55"/>
      <c r="H128" s="165">
        <v>122</v>
      </c>
      <c r="I128" s="55"/>
      <c r="J128" s="55"/>
      <c r="K128" s="55"/>
      <c r="L128" s="166">
        <v>22</v>
      </c>
      <c r="M128" s="55"/>
      <c r="N128" s="55"/>
      <c r="O128" s="168">
        <v>25</v>
      </c>
      <c r="P128" s="55"/>
      <c r="Q128" s="55"/>
      <c r="R128" s="55"/>
      <c r="S128" s="55"/>
      <c r="T128" s="170">
        <v>5.7</v>
      </c>
      <c r="U128" s="169">
        <v>0</v>
      </c>
      <c r="V128" s="171">
        <v>0</v>
      </c>
      <c r="W128" s="55"/>
      <c r="X128" s="172">
        <v>0</v>
      </c>
      <c r="Y128" s="55"/>
      <c r="Z128" s="170">
        <v>0</v>
      </c>
      <c r="AA128" s="168">
        <v>0</v>
      </c>
      <c r="AB128" s="167">
        <v>2099428</v>
      </c>
    </row>
    <row r="129" spans="1:28" ht="15">
      <c r="A129" s="164">
        <v>335</v>
      </c>
      <c r="B129" s="168">
        <v>388</v>
      </c>
      <c r="C129" s="175">
        <v>0</v>
      </c>
      <c r="D129" s="166">
        <v>138.4</v>
      </c>
      <c r="E129" s="55"/>
      <c r="F129" s="166">
        <v>0</v>
      </c>
      <c r="G129" s="55"/>
      <c r="H129" s="165">
        <v>116</v>
      </c>
      <c r="I129" s="55"/>
      <c r="J129" s="55"/>
      <c r="K129" s="55"/>
      <c r="L129" s="166">
        <v>0</v>
      </c>
      <c r="M129" s="55"/>
      <c r="N129" s="55"/>
      <c r="O129" s="168">
        <v>280</v>
      </c>
      <c r="P129" s="55"/>
      <c r="Q129" s="55"/>
      <c r="R129" s="55"/>
      <c r="S129" s="55"/>
      <c r="T129" s="170">
        <v>0</v>
      </c>
      <c r="U129" s="169">
        <v>0</v>
      </c>
      <c r="V129" s="171">
        <v>0</v>
      </c>
      <c r="W129" s="55"/>
      <c r="X129" s="172">
        <v>0</v>
      </c>
      <c r="Y129" s="55"/>
      <c r="Z129" s="170">
        <v>0</v>
      </c>
      <c r="AA129" s="168">
        <v>0</v>
      </c>
      <c r="AB129" s="167">
        <v>3020122</v>
      </c>
    </row>
    <row r="130" spans="1:28" ht="15">
      <c r="A130" s="164">
        <v>336</v>
      </c>
      <c r="B130" s="168">
        <v>1149.9000000000001</v>
      </c>
      <c r="C130" s="175">
        <v>0</v>
      </c>
      <c r="D130" s="166">
        <v>378.7</v>
      </c>
      <c r="E130" s="55"/>
      <c r="F130" s="166">
        <v>54.9</v>
      </c>
      <c r="G130" s="55"/>
      <c r="H130" s="165">
        <v>432</v>
      </c>
      <c r="I130" s="55"/>
      <c r="J130" s="55"/>
      <c r="K130" s="55"/>
      <c r="L130" s="166">
        <v>75.599999999999994</v>
      </c>
      <c r="M130" s="55"/>
      <c r="N130" s="55"/>
      <c r="O130" s="168">
        <v>409</v>
      </c>
      <c r="P130" s="55"/>
      <c r="Q130" s="55"/>
      <c r="R130" s="55"/>
      <c r="S130" s="55"/>
      <c r="T130" s="170">
        <v>0</v>
      </c>
      <c r="U130" s="169">
        <v>0</v>
      </c>
      <c r="V130" s="171">
        <v>0</v>
      </c>
      <c r="W130" s="55"/>
      <c r="X130" s="172">
        <v>1</v>
      </c>
      <c r="Y130" s="55"/>
      <c r="Z130" s="170">
        <v>0</v>
      </c>
      <c r="AA130" s="168">
        <v>0</v>
      </c>
      <c r="AB130" s="167">
        <v>7527469</v>
      </c>
    </row>
    <row r="131" spans="1:28" ht="15">
      <c r="A131" s="164">
        <v>337</v>
      </c>
      <c r="B131" s="168">
        <v>917.4</v>
      </c>
      <c r="C131" s="175">
        <v>0</v>
      </c>
      <c r="D131" s="166">
        <v>244.2</v>
      </c>
      <c r="E131" s="55"/>
      <c r="F131" s="166">
        <v>0</v>
      </c>
      <c r="G131" s="55"/>
      <c r="H131" s="165">
        <v>335</v>
      </c>
      <c r="I131" s="55"/>
      <c r="J131" s="55"/>
      <c r="K131" s="55"/>
      <c r="L131" s="166">
        <v>0</v>
      </c>
      <c r="M131" s="55"/>
      <c r="N131" s="55"/>
      <c r="O131" s="168">
        <v>664</v>
      </c>
      <c r="P131" s="55"/>
      <c r="Q131" s="55"/>
      <c r="R131" s="55"/>
      <c r="S131" s="55"/>
      <c r="T131" s="170">
        <v>0</v>
      </c>
      <c r="U131" s="169">
        <v>0</v>
      </c>
      <c r="V131" s="171">
        <v>0</v>
      </c>
      <c r="W131" s="55"/>
      <c r="X131" s="172">
        <v>1</v>
      </c>
      <c r="Y131" s="55"/>
      <c r="Z131" s="170">
        <v>0</v>
      </c>
      <c r="AA131" s="168">
        <v>0</v>
      </c>
      <c r="AB131" s="167">
        <v>6706905</v>
      </c>
    </row>
    <row r="132" spans="1:28" ht="15">
      <c r="A132" s="164">
        <v>338</v>
      </c>
      <c r="B132" s="168">
        <v>389</v>
      </c>
      <c r="C132" s="175">
        <v>5.5</v>
      </c>
      <c r="D132" s="166">
        <v>123.7</v>
      </c>
      <c r="E132" s="55"/>
      <c r="F132" s="166">
        <v>0</v>
      </c>
      <c r="G132" s="55"/>
      <c r="H132" s="165">
        <v>152</v>
      </c>
      <c r="I132" s="55"/>
      <c r="J132" s="55"/>
      <c r="K132" s="55"/>
      <c r="L132" s="166">
        <v>0</v>
      </c>
      <c r="M132" s="55"/>
      <c r="N132" s="55"/>
      <c r="O132" s="168">
        <v>142</v>
      </c>
      <c r="P132" s="55"/>
      <c r="Q132" s="55"/>
      <c r="R132" s="55"/>
      <c r="S132" s="55"/>
      <c r="T132" s="170">
        <v>0</v>
      </c>
      <c r="U132" s="169">
        <v>0</v>
      </c>
      <c r="V132" s="171">
        <v>0</v>
      </c>
      <c r="W132" s="55"/>
      <c r="X132" s="172">
        <v>0</v>
      </c>
      <c r="Y132" s="55"/>
      <c r="Z132" s="170">
        <v>0</v>
      </c>
      <c r="AA132" s="168">
        <v>0</v>
      </c>
      <c r="AB132" s="167">
        <v>3033008</v>
      </c>
    </row>
    <row r="133" spans="1:28" ht="15">
      <c r="A133" s="164">
        <v>339</v>
      </c>
      <c r="B133" s="168">
        <v>431</v>
      </c>
      <c r="C133" s="175">
        <v>5</v>
      </c>
      <c r="D133" s="166">
        <v>82.9</v>
      </c>
      <c r="E133" s="55"/>
      <c r="F133" s="166">
        <v>0</v>
      </c>
      <c r="G133" s="55"/>
      <c r="H133" s="165">
        <v>134</v>
      </c>
      <c r="I133" s="55"/>
      <c r="J133" s="55"/>
      <c r="K133" s="55"/>
      <c r="L133" s="166">
        <v>0</v>
      </c>
      <c r="M133" s="55"/>
      <c r="N133" s="55"/>
      <c r="O133" s="168">
        <v>224</v>
      </c>
      <c r="P133" s="55"/>
      <c r="Q133" s="55"/>
      <c r="R133" s="55"/>
      <c r="S133" s="55"/>
      <c r="T133" s="170">
        <v>0</v>
      </c>
      <c r="U133" s="169">
        <v>0</v>
      </c>
      <c r="V133" s="171">
        <v>0</v>
      </c>
      <c r="W133" s="55"/>
      <c r="X133" s="172">
        <v>0</v>
      </c>
      <c r="Y133" s="55"/>
      <c r="Z133" s="170">
        <v>0</v>
      </c>
      <c r="AA133" s="168">
        <v>0</v>
      </c>
      <c r="AB133" s="167">
        <v>3598125</v>
      </c>
    </row>
    <row r="134" spans="1:28" ht="15">
      <c r="A134" s="164">
        <v>340</v>
      </c>
      <c r="B134" s="168">
        <v>855.1</v>
      </c>
      <c r="C134" s="175">
        <v>0</v>
      </c>
      <c r="D134" s="166">
        <v>252.8</v>
      </c>
      <c r="E134" s="55"/>
      <c r="F134" s="166">
        <v>0</v>
      </c>
      <c r="G134" s="55"/>
      <c r="H134" s="165">
        <v>207</v>
      </c>
      <c r="I134" s="55"/>
      <c r="J134" s="55"/>
      <c r="K134" s="55"/>
      <c r="L134" s="166">
        <v>0</v>
      </c>
      <c r="M134" s="55"/>
      <c r="N134" s="55"/>
      <c r="O134" s="168">
        <v>516</v>
      </c>
      <c r="P134" s="55"/>
      <c r="Q134" s="55"/>
      <c r="R134" s="55"/>
      <c r="S134" s="55"/>
      <c r="T134" s="170">
        <v>0</v>
      </c>
      <c r="U134" s="169">
        <v>0</v>
      </c>
      <c r="V134" s="171">
        <v>0</v>
      </c>
      <c r="W134" s="55"/>
      <c r="X134" s="172">
        <v>0</v>
      </c>
      <c r="Y134" s="55"/>
      <c r="Z134" s="170">
        <v>0</v>
      </c>
      <c r="AA134" s="168">
        <v>0</v>
      </c>
      <c r="AB134" s="167">
        <v>6030266</v>
      </c>
    </row>
    <row r="135" spans="1:28" ht="15">
      <c r="A135" s="164">
        <v>341</v>
      </c>
      <c r="B135" s="168">
        <v>517.5</v>
      </c>
      <c r="C135" s="175">
        <v>11.5</v>
      </c>
      <c r="D135" s="166">
        <v>60.5</v>
      </c>
      <c r="E135" s="55"/>
      <c r="F135" s="166">
        <v>0</v>
      </c>
      <c r="G135" s="55"/>
      <c r="H135" s="165">
        <v>277</v>
      </c>
      <c r="I135" s="55"/>
      <c r="J135" s="55"/>
      <c r="K135" s="55"/>
      <c r="L135" s="166">
        <v>0</v>
      </c>
      <c r="M135" s="55"/>
      <c r="N135" s="55"/>
      <c r="O135" s="168">
        <v>338</v>
      </c>
      <c r="P135" s="55"/>
      <c r="Q135" s="55"/>
      <c r="R135" s="55"/>
      <c r="S135" s="55"/>
      <c r="T135" s="170">
        <v>1</v>
      </c>
      <c r="U135" s="169">
        <v>0</v>
      </c>
      <c r="V135" s="171">
        <v>0</v>
      </c>
      <c r="W135" s="55"/>
      <c r="X135" s="172">
        <v>0</v>
      </c>
      <c r="Y135" s="55"/>
      <c r="Z135" s="170">
        <v>0</v>
      </c>
      <c r="AA135" s="168">
        <v>0</v>
      </c>
      <c r="AB135" s="167">
        <v>4432122</v>
      </c>
    </row>
    <row r="136" spans="1:28" ht="15">
      <c r="A136" s="164">
        <v>342</v>
      </c>
      <c r="B136" s="168">
        <v>494.7</v>
      </c>
      <c r="C136" s="175">
        <v>13.5</v>
      </c>
      <c r="D136" s="166">
        <v>83</v>
      </c>
      <c r="E136" s="55"/>
      <c r="F136" s="166">
        <v>0</v>
      </c>
      <c r="G136" s="55"/>
      <c r="H136" s="165">
        <v>179</v>
      </c>
      <c r="I136" s="55"/>
      <c r="J136" s="55"/>
      <c r="K136" s="55"/>
      <c r="L136" s="166">
        <v>0</v>
      </c>
      <c r="M136" s="55"/>
      <c r="N136" s="55"/>
      <c r="O136" s="168">
        <v>247</v>
      </c>
      <c r="P136" s="55"/>
      <c r="Q136" s="55"/>
      <c r="R136" s="55"/>
      <c r="S136" s="55"/>
      <c r="T136" s="170">
        <v>0</v>
      </c>
      <c r="U136" s="169">
        <v>0</v>
      </c>
      <c r="V136" s="171">
        <v>0</v>
      </c>
      <c r="W136" s="55"/>
      <c r="X136" s="172">
        <v>0</v>
      </c>
      <c r="Y136" s="55"/>
      <c r="Z136" s="170">
        <v>0</v>
      </c>
      <c r="AA136" s="168">
        <v>0</v>
      </c>
      <c r="AB136" s="167">
        <v>3998961</v>
      </c>
    </row>
    <row r="137" spans="1:28" ht="15">
      <c r="A137" s="164">
        <v>343</v>
      </c>
      <c r="B137" s="168">
        <v>804.5</v>
      </c>
      <c r="C137" s="175">
        <v>8</v>
      </c>
      <c r="D137" s="166">
        <v>172.4</v>
      </c>
      <c r="E137" s="55"/>
      <c r="F137" s="166">
        <v>7</v>
      </c>
      <c r="G137" s="55"/>
      <c r="H137" s="165">
        <v>242</v>
      </c>
      <c r="I137" s="55"/>
      <c r="J137" s="55"/>
      <c r="K137" s="55"/>
      <c r="L137" s="166">
        <v>0</v>
      </c>
      <c r="M137" s="55"/>
      <c r="N137" s="55"/>
      <c r="O137" s="168">
        <v>538</v>
      </c>
      <c r="P137" s="55"/>
      <c r="Q137" s="55"/>
      <c r="R137" s="55"/>
      <c r="S137" s="55"/>
      <c r="T137" s="170">
        <v>0</v>
      </c>
      <c r="U137" s="169">
        <v>0</v>
      </c>
      <c r="V137" s="171">
        <v>0</v>
      </c>
      <c r="W137" s="55"/>
      <c r="X137" s="172">
        <v>0</v>
      </c>
      <c r="Y137" s="55"/>
      <c r="Z137" s="170">
        <v>0</v>
      </c>
      <c r="AA137" s="168">
        <v>0</v>
      </c>
      <c r="AB137" s="167">
        <v>6389288</v>
      </c>
    </row>
    <row r="138" spans="1:28" ht="15">
      <c r="A138" s="164">
        <v>344</v>
      </c>
      <c r="B138" s="168">
        <v>369</v>
      </c>
      <c r="C138" s="175">
        <v>5</v>
      </c>
      <c r="D138" s="166">
        <v>137.80000000000001</v>
      </c>
      <c r="E138" s="55"/>
      <c r="F138" s="166">
        <v>0</v>
      </c>
      <c r="G138" s="55"/>
      <c r="H138" s="165">
        <v>200</v>
      </c>
      <c r="I138" s="55"/>
      <c r="J138" s="55"/>
      <c r="K138" s="55"/>
      <c r="L138" s="166">
        <v>0</v>
      </c>
      <c r="M138" s="55"/>
      <c r="N138" s="55"/>
      <c r="O138" s="168">
        <v>75</v>
      </c>
      <c r="P138" s="55"/>
      <c r="Q138" s="55"/>
      <c r="R138" s="55"/>
      <c r="S138" s="55"/>
      <c r="T138" s="170">
        <v>0</v>
      </c>
      <c r="U138" s="169">
        <v>0</v>
      </c>
      <c r="V138" s="171">
        <v>0</v>
      </c>
      <c r="W138" s="55"/>
      <c r="X138" s="172">
        <v>0</v>
      </c>
      <c r="Y138" s="55"/>
      <c r="Z138" s="170">
        <v>0</v>
      </c>
      <c r="AA138" s="168">
        <v>0</v>
      </c>
      <c r="AB138" s="167">
        <v>2702336</v>
      </c>
    </row>
    <row r="139" spans="1:28" ht="15">
      <c r="A139" s="164">
        <v>345</v>
      </c>
      <c r="B139" s="168">
        <v>3688.3</v>
      </c>
      <c r="C139" s="175">
        <v>19</v>
      </c>
      <c r="D139" s="166">
        <v>668.3</v>
      </c>
      <c r="E139" s="55"/>
      <c r="F139" s="166">
        <v>20.399999999999999</v>
      </c>
      <c r="G139" s="55"/>
      <c r="H139" s="165">
        <v>1091</v>
      </c>
      <c r="I139" s="55"/>
      <c r="J139" s="55"/>
      <c r="K139" s="55"/>
      <c r="L139" s="166">
        <v>0</v>
      </c>
      <c r="M139" s="55"/>
      <c r="N139" s="55"/>
      <c r="O139" s="168">
        <v>1715</v>
      </c>
      <c r="P139" s="55"/>
      <c r="Q139" s="55"/>
      <c r="R139" s="55"/>
      <c r="S139" s="55"/>
      <c r="T139" s="170">
        <v>13.8</v>
      </c>
      <c r="U139" s="169">
        <v>0</v>
      </c>
      <c r="V139" s="171">
        <v>0</v>
      </c>
      <c r="W139" s="55"/>
      <c r="X139" s="172">
        <v>3</v>
      </c>
      <c r="Y139" s="55"/>
      <c r="Z139" s="170">
        <v>0</v>
      </c>
      <c r="AA139" s="168">
        <v>0</v>
      </c>
      <c r="AB139" s="167">
        <v>21861738</v>
      </c>
    </row>
    <row r="140" spans="1:28" ht="15">
      <c r="A140" s="164">
        <v>346</v>
      </c>
      <c r="B140" s="168">
        <v>508</v>
      </c>
      <c r="C140" s="175">
        <v>10</v>
      </c>
      <c r="D140" s="166">
        <v>201.7</v>
      </c>
      <c r="E140" s="55"/>
      <c r="F140" s="166">
        <v>1.4</v>
      </c>
      <c r="G140" s="55"/>
      <c r="H140" s="165">
        <v>269</v>
      </c>
      <c r="I140" s="55"/>
      <c r="J140" s="55"/>
      <c r="K140" s="55"/>
      <c r="L140" s="166">
        <v>0</v>
      </c>
      <c r="M140" s="55"/>
      <c r="N140" s="55"/>
      <c r="O140" s="168">
        <v>323</v>
      </c>
      <c r="P140" s="55"/>
      <c r="Q140" s="55"/>
      <c r="R140" s="55"/>
      <c r="S140" s="55"/>
      <c r="T140" s="170">
        <v>1</v>
      </c>
      <c r="U140" s="169">
        <v>0</v>
      </c>
      <c r="V140" s="171">
        <v>0</v>
      </c>
      <c r="W140" s="55"/>
      <c r="X140" s="172">
        <v>0</v>
      </c>
      <c r="Y140" s="55"/>
      <c r="Z140" s="170">
        <v>0</v>
      </c>
      <c r="AA140" s="168">
        <v>0</v>
      </c>
      <c r="AB140" s="167">
        <v>4551868</v>
      </c>
    </row>
    <row r="141" spans="1:28" ht="15">
      <c r="A141" s="164">
        <v>347</v>
      </c>
      <c r="B141" s="168">
        <v>351.5</v>
      </c>
      <c r="C141" s="175">
        <v>5</v>
      </c>
      <c r="D141" s="166">
        <v>139.6</v>
      </c>
      <c r="E141" s="55"/>
      <c r="F141" s="166">
        <v>292.10000000000002</v>
      </c>
      <c r="G141" s="55"/>
      <c r="H141" s="165">
        <v>162</v>
      </c>
      <c r="I141" s="55"/>
      <c r="J141" s="55"/>
      <c r="K141" s="55"/>
      <c r="L141" s="166">
        <v>0</v>
      </c>
      <c r="M141" s="55"/>
      <c r="N141" s="55"/>
      <c r="O141" s="168">
        <v>186</v>
      </c>
      <c r="P141" s="55"/>
      <c r="Q141" s="55"/>
      <c r="R141" s="55"/>
      <c r="S141" s="55"/>
      <c r="T141" s="170">
        <v>0</v>
      </c>
      <c r="U141" s="169">
        <v>0</v>
      </c>
      <c r="V141" s="171">
        <v>0</v>
      </c>
      <c r="W141" s="55"/>
      <c r="X141" s="172">
        <v>0</v>
      </c>
      <c r="Y141" s="55"/>
      <c r="Z141" s="170">
        <v>0</v>
      </c>
      <c r="AA141" s="168">
        <v>0</v>
      </c>
      <c r="AB141" s="167">
        <v>3114153</v>
      </c>
    </row>
    <row r="142" spans="1:28" ht="15">
      <c r="A142" s="164">
        <v>348</v>
      </c>
      <c r="B142" s="168">
        <v>1327</v>
      </c>
      <c r="C142" s="175">
        <v>16</v>
      </c>
      <c r="D142" s="166">
        <v>279.2</v>
      </c>
      <c r="E142" s="55"/>
      <c r="F142" s="166">
        <v>4.4000000000000004</v>
      </c>
      <c r="G142" s="55"/>
      <c r="H142" s="165">
        <v>377</v>
      </c>
      <c r="I142" s="55"/>
      <c r="J142" s="55"/>
      <c r="K142" s="55"/>
      <c r="L142" s="166">
        <v>0</v>
      </c>
      <c r="M142" s="55"/>
      <c r="N142" s="55"/>
      <c r="O142" s="168">
        <v>474</v>
      </c>
      <c r="P142" s="55"/>
      <c r="Q142" s="55"/>
      <c r="R142" s="55"/>
      <c r="S142" s="55"/>
      <c r="T142" s="170">
        <v>2</v>
      </c>
      <c r="U142" s="169">
        <v>0</v>
      </c>
      <c r="V142" s="171">
        <v>0</v>
      </c>
      <c r="W142" s="55"/>
      <c r="X142" s="172">
        <v>1</v>
      </c>
      <c r="Y142" s="55"/>
      <c r="Z142" s="170">
        <v>0</v>
      </c>
      <c r="AA142" s="168">
        <v>0</v>
      </c>
      <c r="AB142" s="167">
        <v>8412128</v>
      </c>
    </row>
    <row r="143" spans="1:28" ht="15">
      <c r="A143" s="164">
        <v>349</v>
      </c>
      <c r="B143" s="168">
        <v>277</v>
      </c>
      <c r="C143" s="175">
        <v>0</v>
      </c>
      <c r="D143" s="166">
        <v>116.1</v>
      </c>
      <c r="E143" s="55"/>
      <c r="F143" s="166">
        <v>50.2</v>
      </c>
      <c r="G143" s="55"/>
      <c r="H143" s="165">
        <v>127</v>
      </c>
      <c r="I143" s="55"/>
      <c r="J143" s="55"/>
      <c r="K143" s="55"/>
      <c r="L143" s="166">
        <v>0</v>
      </c>
      <c r="M143" s="55"/>
      <c r="N143" s="55"/>
      <c r="O143" s="168">
        <v>43</v>
      </c>
      <c r="P143" s="55"/>
      <c r="Q143" s="55"/>
      <c r="R143" s="55"/>
      <c r="S143" s="55"/>
      <c r="T143" s="170">
        <v>0</v>
      </c>
      <c r="U143" s="169">
        <v>0</v>
      </c>
      <c r="V143" s="171">
        <v>0</v>
      </c>
      <c r="W143" s="55"/>
      <c r="X143" s="172">
        <v>0</v>
      </c>
      <c r="Y143" s="55"/>
      <c r="Z143" s="170">
        <v>0</v>
      </c>
      <c r="AA143" s="168">
        <v>0</v>
      </c>
      <c r="AB143" s="167">
        <v>2388387</v>
      </c>
    </row>
    <row r="144" spans="1:28" ht="15">
      <c r="A144" s="164">
        <v>350</v>
      </c>
      <c r="B144" s="168">
        <v>332.2</v>
      </c>
      <c r="C144" s="175">
        <v>0</v>
      </c>
      <c r="D144" s="166">
        <v>105.6</v>
      </c>
      <c r="E144" s="55"/>
      <c r="F144" s="166">
        <v>198.5</v>
      </c>
      <c r="G144" s="55"/>
      <c r="H144" s="165">
        <v>139</v>
      </c>
      <c r="I144" s="55"/>
      <c r="J144" s="55"/>
      <c r="K144" s="55"/>
      <c r="L144" s="166">
        <v>0</v>
      </c>
      <c r="M144" s="55"/>
      <c r="N144" s="55"/>
      <c r="O144" s="168">
        <v>38.5</v>
      </c>
      <c r="P144" s="55"/>
      <c r="Q144" s="55"/>
      <c r="R144" s="55"/>
      <c r="S144" s="55"/>
      <c r="T144" s="170">
        <v>0</v>
      </c>
      <c r="U144" s="169">
        <v>0</v>
      </c>
      <c r="V144" s="171">
        <v>0</v>
      </c>
      <c r="W144" s="55"/>
      <c r="X144" s="172">
        <v>0</v>
      </c>
      <c r="Y144" s="55"/>
      <c r="Z144" s="170">
        <v>0</v>
      </c>
      <c r="AA144" s="168">
        <v>0</v>
      </c>
      <c r="AB144" s="167">
        <v>2676188</v>
      </c>
    </row>
    <row r="145" spans="1:28" ht="15">
      <c r="A145" s="164">
        <v>351</v>
      </c>
      <c r="B145" s="168">
        <v>261.2</v>
      </c>
      <c r="C145" s="175">
        <v>2.5</v>
      </c>
      <c r="D145" s="166">
        <v>27.5</v>
      </c>
      <c r="E145" s="55"/>
      <c r="F145" s="166">
        <v>181.7</v>
      </c>
      <c r="G145" s="55"/>
      <c r="H145" s="165">
        <v>159</v>
      </c>
      <c r="I145" s="55"/>
      <c r="J145" s="55"/>
      <c r="K145" s="55"/>
      <c r="L145" s="166">
        <v>0</v>
      </c>
      <c r="M145" s="55"/>
      <c r="N145" s="55"/>
      <c r="O145" s="168">
        <v>80.5</v>
      </c>
      <c r="P145" s="55"/>
      <c r="Q145" s="55"/>
      <c r="R145" s="55"/>
      <c r="S145" s="55"/>
      <c r="T145" s="170">
        <v>0</v>
      </c>
      <c r="U145" s="169">
        <v>0</v>
      </c>
      <c r="V145" s="171">
        <v>0</v>
      </c>
      <c r="W145" s="55"/>
      <c r="X145" s="172">
        <v>0</v>
      </c>
      <c r="Y145" s="55"/>
      <c r="Z145" s="170">
        <v>0</v>
      </c>
      <c r="AA145" s="168">
        <v>0</v>
      </c>
      <c r="AB145" s="167">
        <v>2582974</v>
      </c>
    </row>
    <row r="146" spans="1:28" ht="15">
      <c r="A146" s="164">
        <v>352</v>
      </c>
      <c r="B146" s="168">
        <v>1032</v>
      </c>
      <c r="C146" s="175">
        <v>0</v>
      </c>
      <c r="D146" s="166">
        <v>178.9</v>
      </c>
      <c r="E146" s="55"/>
      <c r="F146" s="166">
        <v>347.6</v>
      </c>
      <c r="G146" s="55"/>
      <c r="H146" s="165">
        <v>446</v>
      </c>
      <c r="I146" s="55"/>
      <c r="J146" s="55"/>
      <c r="K146" s="55"/>
      <c r="L146" s="166">
        <v>0</v>
      </c>
      <c r="M146" s="55"/>
      <c r="N146" s="55"/>
      <c r="O146" s="168">
        <v>160</v>
      </c>
      <c r="P146" s="55"/>
      <c r="Q146" s="55"/>
      <c r="R146" s="55"/>
      <c r="S146" s="55"/>
      <c r="T146" s="170">
        <v>1</v>
      </c>
      <c r="U146" s="169">
        <v>0</v>
      </c>
      <c r="V146" s="171">
        <v>0</v>
      </c>
      <c r="W146" s="55"/>
      <c r="X146" s="172">
        <v>1</v>
      </c>
      <c r="Y146" s="55"/>
      <c r="Z146" s="170">
        <v>0</v>
      </c>
      <c r="AA146" s="168">
        <v>0</v>
      </c>
      <c r="AB146" s="167">
        <v>6857738</v>
      </c>
    </row>
    <row r="147" spans="1:28" ht="15">
      <c r="A147" s="164">
        <v>353</v>
      </c>
      <c r="B147" s="168">
        <v>1519.5</v>
      </c>
      <c r="C147" s="175">
        <v>6.5</v>
      </c>
      <c r="D147" s="166">
        <v>446.1</v>
      </c>
      <c r="E147" s="55"/>
      <c r="F147" s="166">
        <v>17.7</v>
      </c>
      <c r="G147" s="55"/>
      <c r="H147" s="165">
        <v>733</v>
      </c>
      <c r="I147" s="55"/>
      <c r="J147" s="55"/>
      <c r="K147" s="55"/>
      <c r="L147" s="166">
        <v>0</v>
      </c>
      <c r="M147" s="55"/>
      <c r="N147" s="55"/>
      <c r="O147" s="168">
        <v>182</v>
      </c>
      <c r="P147" s="55"/>
      <c r="Q147" s="55"/>
      <c r="R147" s="55"/>
      <c r="S147" s="55"/>
      <c r="T147" s="170">
        <v>0</v>
      </c>
      <c r="U147" s="169">
        <v>0</v>
      </c>
      <c r="V147" s="171">
        <v>0</v>
      </c>
      <c r="W147" s="55"/>
      <c r="X147" s="172">
        <v>0</v>
      </c>
      <c r="Y147" s="55"/>
      <c r="Z147" s="170">
        <v>0</v>
      </c>
      <c r="AA147" s="168">
        <v>0</v>
      </c>
      <c r="AB147" s="167">
        <v>10600556</v>
      </c>
    </row>
    <row r="148" spans="1:28" ht="15">
      <c r="A148" s="164">
        <v>355</v>
      </c>
      <c r="B148" s="168">
        <v>410.7</v>
      </c>
      <c r="C148" s="175">
        <v>0</v>
      </c>
      <c r="D148" s="166">
        <v>133.4</v>
      </c>
      <c r="E148" s="55"/>
      <c r="F148" s="166">
        <v>0</v>
      </c>
      <c r="G148" s="55"/>
      <c r="H148" s="165">
        <v>186</v>
      </c>
      <c r="I148" s="55"/>
      <c r="J148" s="55"/>
      <c r="K148" s="55"/>
      <c r="L148" s="166">
        <v>0</v>
      </c>
      <c r="M148" s="55"/>
      <c r="N148" s="55"/>
      <c r="O148" s="168">
        <v>91.6</v>
      </c>
      <c r="P148" s="55"/>
      <c r="Q148" s="55"/>
      <c r="R148" s="55"/>
      <c r="S148" s="55"/>
      <c r="T148" s="170">
        <v>0</v>
      </c>
      <c r="U148" s="169">
        <v>0</v>
      </c>
      <c r="V148" s="171">
        <v>0</v>
      </c>
      <c r="W148" s="55"/>
      <c r="X148" s="172">
        <v>0</v>
      </c>
      <c r="Y148" s="55"/>
      <c r="Z148" s="170">
        <v>0</v>
      </c>
      <c r="AA148" s="168">
        <v>0</v>
      </c>
      <c r="AB148" s="167">
        <v>3520214</v>
      </c>
    </row>
    <row r="149" spans="1:28" ht="15">
      <c r="A149" s="164">
        <v>356</v>
      </c>
      <c r="B149" s="168">
        <v>492.3</v>
      </c>
      <c r="C149" s="175">
        <v>0</v>
      </c>
      <c r="D149" s="166">
        <v>163.69999999999999</v>
      </c>
      <c r="E149" s="55"/>
      <c r="F149" s="166">
        <v>0</v>
      </c>
      <c r="G149" s="55"/>
      <c r="H149" s="165">
        <v>142</v>
      </c>
      <c r="I149" s="55"/>
      <c r="J149" s="55"/>
      <c r="K149" s="55"/>
      <c r="L149" s="166">
        <v>0</v>
      </c>
      <c r="M149" s="55"/>
      <c r="N149" s="55"/>
      <c r="O149" s="168">
        <v>156</v>
      </c>
      <c r="P149" s="55"/>
      <c r="Q149" s="55"/>
      <c r="R149" s="55"/>
      <c r="S149" s="55"/>
      <c r="T149" s="170">
        <v>0</v>
      </c>
      <c r="U149" s="169">
        <v>0</v>
      </c>
      <c r="V149" s="171">
        <v>0</v>
      </c>
      <c r="W149" s="55"/>
      <c r="X149" s="172">
        <v>0</v>
      </c>
      <c r="Y149" s="55"/>
      <c r="Z149" s="170">
        <v>0</v>
      </c>
      <c r="AA149" s="168">
        <v>0</v>
      </c>
      <c r="AB149" s="167">
        <v>3975784</v>
      </c>
    </row>
    <row r="150" spans="1:28" ht="15">
      <c r="A150" s="164">
        <v>357</v>
      </c>
      <c r="B150" s="168">
        <v>583</v>
      </c>
      <c r="C150" s="175">
        <v>11</v>
      </c>
      <c r="D150" s="166">
        <v>109</v>
      </c>
      <c r="E150" s="55"/>
      <c r="F150" s="166">
        <v>0</v>
      </c>
      <c r="G150" s="55"/>
      <c r="H150" s="165">
        <v>215</v>
      </c>
      <c r="I150" s="55"/>
      <c r="J150" s="55"/>
      <c r="K150" s="55"/>
      <c r="L150" s="166">
        <v>0</v>
      </c>
      <c r="M150" s="55"/>
      <c r="N150" s="55"/>
      <c r="O150" s="168">
        <v>191</v>
      </c>
      <c r="P150" s="55"/>
      <c r="Q150" s="55"/>
      <c r="R150" s="55"/>
      <c r="S150" s="55"/>
      <c r="T150" s="170">
        <v>0</v>
      </c>
      <c r="U150" s="169">
        <v>0</v>
      </c>
      <c r="V150" s="171">
        <v>0</v>
      </c>
      <c r="W150" s="55"/>
      <c r="X150" s="172">
        <v>0</v>
      </c>
      <c r="Y150" s="55"/>
      <c r="Z150" s="170">
        <v>0</v>
      </c>
      <c r="AA150" s="168">
        <v>0</v>
      </c>
      <c r="AB150" s="167">
        <v>4971745</v>
      </c>
    </row>
    <row r="151" spans="1:28" ht="15">
      <c r="A151" s="164">
        <v>358</v>
      </c>
      <c r="B151" s="168">
        <v>314.2</v>
      </c>
      <c r="C151" s="175">
        <v>2</v>
      </c>
      <c r="D151" s="166">
        <v>76.2</v>
      </c>
      <c r="E151" s="55"/>
      <c r="F151" s="166">
        <v>0</v>
      </c>
      <c r="G151" s="55"/>
      <c r="H151" s="165">
        <v>129</v>
      </c>
      <c r="I151" s="55"/>
      <c r="J151" s="55"/>
      <c r="K151" s="55"/>
      <c r="L151" s="166">
        <v>0</v>
      </c>
      <c r="M151" s="55"/>
      <c r="N151" s="55"/>
      <c r="O151" s="168">
        <v>105</v>
      </c>
      <c r="P151" s="55"/>
      <c r="Q151" s="55"/>
      <c r="R151" s="55"/>
      <c r="S151" s="55"/>
      <c r="T151" s="170">
        <v>19</v>
      </c>
      <c r="U151" s="169">
        <v>0</v>
      </c>
      <c r="V151" s="171">
        <v>0</v>
      </c>
      <c r="W151" s="55"/>
      <c r="X151" s="172">
        <v>0</v>
      </c>
      <c r="Y151" s="55"/>
      <c r="Z151" s="170">
        <v>0</v>
      </c>
      <c r="AA151" s="168">
        <v>0</v>
      </c>
      <c r="AB151" s="167">
        <v>3103791</v>
      </c>
    </row>
    <row r="152" spans="1:28" ht="15">
      <c r="A152" s="164">
        <v>359</v>
      </c>
      <c r="B152" s="168">
        <v>160</v>
      </c>
      <c r="C152" s="175">
        <v>1</v>
      </c>
      <c r="D152" s="166">
        <v>9.5</v>
      </c>
      <c r="E152" s="55"/>
      <c r="F152" s="166">
        <v>0</v>
      </c>
      <c r="G152" s="55"/>
      <c r="H152" s="165">
        <v>58</v>
      </c>
      <c r="I152" s="55"/>
      <c r="J152" s="55"/>
      <c r="K152" s="55"/>
      <c r="L152" s="166">
        <v>0</v>
      </c>
      <c r="M152" s="55"/>
      <c r="N152" s="55"/>
      <c r="O152" s="168">
        <v>56</v>
      </c>
      <c r="P152" s="55"/>
      <c r="Q152" s="55"/>
      <c r="R152" s="55"/>
      <c r="S152" s="55"/>
      <c r="T152" s="170">
        <v>1</v>
      </c>
      <c r="U152" s="169">
        <v>0</v>
      </c>
      <c r="V152" s="171">
        <v>0</v>
      </c>
      <c r="W152" s="55"/>
      <c r="X152" s="172">
        <v>0</v>
      </c>
      <c r="Y152" s="55"/>
      <c r="Z152" s="170">
        <v>0</v>
      </c>
      <c r="AA152" s="168">
        <v>0</v>
      </c>
      <c r="AB152" s="167">
        <v>1603516</v>
      </c>
    </row>
    <row r="153" spans="1:28" ht="15">
      <c r="A153" s="164">
        <v>360</v>
      </c>
      <c r="B153" s="168">
        <v>240.5</v>
      </c>
      <c r="C153" s="175">
        <v>3</v>
      </c>
      <c r="D153" s="166">
        <v>63.8</v>
      </c>
      <c r="E153" s="55"/>
      <c r="F153" s="166">
        <v>0</v>
      </c>
      <c r="G153" s="55"/>
      <c r="H153" s="165">
        <v>103</v>
      </c>
      <c r="I153" s="55"/>
      <c r="J153" s="55"/>
      <c r="K153" s="55"/>
      <c r="L153" s="166">
        <v>0</v>
      </c>
      <c r="M153" s="55"/>
      <c r="N153" s="55"/>
      <c r="O153" s="168">
        <v>43</v>
      </c>
      <c r="P153" s="55"/>
      <c r="Q153" s="55"/>
      <c r="R153" s="55"/>
      <c r="S153" s="55"/>
      <c r="T153" s="170">
        <v>0</v>
      </c>
      <c r="U153" s="169">
        <v>0</v>
      </c>
      <c r="V153" s="171">
        <v>0</v>
      </c>
      <c r="W153" s="55"/>
      <c r="X153" s="172">
        <v>0</v>
      </c>
      <c r="Y153" s="55"/>
      <c r="Z153" s="170">
        <v>0</v>
      </c>
      <c r="AA153" s="168">
        <v>0</v>
      </c>
      <c r="AB153" s="167">
        <v>2211839</v>
      </c>
    </row>
    <row r="154" spans="1:28" ht="15">
      <c r="A154" s="164">
        <v>361</v>
      </c>
      <c r="B154" s="168">
        <v>830.7</v>
      </c>
      <c r="C154" s="175">
        <v>10.5</v>
      </c>
      <c r="D154" s="166">
        <v>274.89999999999998</v>
      </c>
      <c r="E154" s="55"/>
      <c r="F154" s="166">
        <v>81.099999999999994</v>
      </c>
      <c r="G154" s="55"/>
      <c r="H154" s="165">
        <v>471</v>
      </c>
      <c r="I154" s="55"/>
      <c r="J154" s="55"/>
      <c r="K154" s="55"/>
      <c r="L154" s="166">
        <v>0</v>
      </c>
      <c r="M154" s="55"/>
      <c r="N154" s="55"/>
      <c r="O154" s="168">
        <v>324</v>
      </c>
      <c r="P154" s="55"/>
      <c r="Q154" s="55"/>
      <c r="R154" s="55"/>
      <c r="S154" s="55"/>
      <c r="T154" s="170">
        <v>0</v>
      </c>
      <c r="U154" s="169">
        <v>0</v>
      </c>
      <c r="V154" s="171">
        <v>0</v>
      </c>
      <c r="W154" s="55"/>
      <c r="X154" s="172">
        <v>0</v>
      </c>
      <c r="Y154" s="55"/>
      <c r="Z154" s="170">
        <v>0</v>
      </c>
      <c r="AA154" s="168">
        <v>0</v>
      </c>
      <c r="AB154" s="167">
        <v>7005885</v>
      </c>
    </row>
    <row r="155" spans="1:28" ht="15">
      <c r="A155" s="164">
        <v>362</v>
      </c>
      <c r="B155" s="168">
        <v>910.3</v>
      </c>
      <c r="C155" s="175">
        <v>0</v>
      </c>
      <c r="D155" s="166">
        <v>228.2</v>
      </c>
      <c r="E155" s="55"/>
      <c r="F155" s="166">
        <v>3.6</v>
      </c>
      <c r="G155" s="55"/>
      <c r="H155" s="165">
        <v>385</v>
      </c>
      <c r="I155" s="55"/>
      <c r="J155" s="55"/>
      <c r="K155" s="55"/>
      <c r="L155" s="166">
        <v>0</v>
      </c>
      <c r="M155" s="55"/>
      <c r="N155" s="55"/>
      <c r="O155" s="168">
        <v>656.5</v>
      </c>
      <c r="P155" s="55"/>
      <c r="Q155" s="55"/>
      <c r="R155" s="55"/>
      <c r="S155" s="55"/>
      <c r="T155" s="170">
        <v>1</v>
      </c>
      <c r="U155" s="169">
        <v>0</v>
      </c>
      <c r="V155" s="171">
        <v>0</v>
      </c>
      <c r="W155" s="55"/>
      <c r="X155" s="172">
        <v>0</v>
      </c>
      <c r="Y155" s="55"/>
      <c r="Z155" s="170">
        <v>0</v>
      </c>
      <c r="AA155" s="168">
        <v>0</v>
      </c>
      <c r="AB155" s="167">
        <v>7500987</v>
      </c>
    </row>
    <row r="156" spans="1:28" ht="15">
      <c r="A156" s="164">
        <v>363</v>
      </c>
      <c r="B156" s="168">
        <v>914.8</v>
      </c>
      <c r="C156" s="175">
        <v>12.5</v>
      </c>
      <c r="D156" s="166">
        <v>205.1</v>
      </c>
      <c r="E156" s="55"/>
      <c r="F156" s="166">
        <v>724.3</v>
      </c>
      <c r="G156" s="55"/>
      <c r="H156" s="165">
        <v>423</v>
      </c>
      <c r="I156" s="55"/>
      <c r="J156" s="55"/>
      <c r="K156" s="55"/>
      <c r="L156" s="166">
        <v>0</v>
      </c>
      <c r="M156" s="55"/>
      <c r="N156" s="55"/>
      <c r="O156" s="168">
        <v>108</v>
      </c>
      <c r="P156" s="55"/>
      <c r="Q156" s="55"/>
      <c r="R156" s="55"/>
      <c r="S156" s="55"/>
      <c r="T156" s="170">
        <v>6.7</v>
      </c>
      <c r="U156" s="169">
        <v>0</v>
      </c>
      <c r="V156" s="171">
        <v>0</v>
      </c>
      <c r="W156" s="55"/>
      <c r="X156" s="172">
        <v>0</v>
      </c>
      <c r="Y156" s="55"/>
      <c r="Z156" s="170">
        <v>0</v>
      </c>
      <c r="AA156" s="168">
        <v>0</v>
      </c>
      <c r="AB156" s="167">
        <v>6392957</v>
      </c>
    </row>
    <row r="157" spans="1:28" ht="15">
      <c r="A157" s="164">
        <v>364</v>
      </c>
      <c r="B157" s="168">
        <v>682.7</v>
      </c>
      <c r="C157" s="175">
        <v>5.5</v>
      </c>
      <c r="D157" s="166">
        <v>262</v>
      </c>
      <c r="E157" s="55"/>
      <c r="F157" s="166">
        <v>0</v>
      </c>
      <c r="G157" s="55"/>
      <c r="H157" s="165">
        <v>237</v>
      </c>
      <c r="I157" s="55"/>
      <c r="J157" s="55"/>
      <c r="K157" s="55"/>
      <c r="L157" s="166">
        <v>0</v>
      </c>
      <c r="M157" s="55"/>
      <c r="N157" s="55"/>
      <c r="O157" s="168">
        <v>202.1</v>
      </c>
      <c r="P157" s="55"/>
      <c r="Q157" s="55"/>
      <c r="R157" s="55"/>
      <c r="S157" s="55"/>
      <c r="T157" s="170">
        <v>0</v>
      </c>
      <c r="U157" s="169">
        <v>0</v>
      </c>
      <c r="V157" s="171">
        <v>0</v>
      </c>
      <c r="W157" s="55"/>
      <c r="X157" s="172">
        <v>0</v>
      </c>
      <c r="Y157" s="55"/>
      <c r="Z157" s="170">
        <v>0</v>
      </c>
      <c r="AA157" s="168">
        <v>0</v>
      </c>
      <c r="AB157" s="167">
        <v>5239254</v>
      </c>
    </row>
    <row r="158" spans="1:28" ht="15">
      <c r="A158" s="164">
        <v>365</v>
      </c>
      <c r="B158" s="168">
        <v>1070.0999999999999</v>
      </c>
      <c r="C158" s="175">
        <v>0</v>
      </c>
      <c r="D158" s="166">
        <v>307.5</v>
      </c>
      <c r="E158" s="55"/>
      <c r="F158" s="166">
        <v>0</v>
      </c>
      <c r="G158" s="55"/>
      <c r="H158" s="165">
        <v>459</v>
      </c>
      <c r="I158" s="55"/>
      <c r="J158" s="55"/>
      <c r="K158" s="55"/>
      <c r="L158" s="166">
        <v>436</v>
      </c>
      <c r="M158" s="55"/>
      <c r="N158" s="55"/>
      <c r="O158" s="168">
        <v>403.2</v>
      </c>
      <c r="P158" s="55"/>
      <c r="Q158" s="55"/>
      <c r="R158" s="55"/>
      <c r="S158" s="55"/>
      <c r="T158" s="170">
        <v>0</v>
      </c>
      <c r="U158" s="169">
        <v>0</v>
      </c>
      <c r="V158" s="171">
        <v>0</v>
      </c>
      <c r="W158" s="55"/>
      <c r="X158" s="172">
        <v>0</v>
      </c>
      <c r="Y158" s="55"/>
      <c r="Z158" s="170">
        <v>0</v>
      </c>
      <c r="AA158" s="168">
        <v>0</v>
      </c>
      <c r="AB158" s="167">
        <v>7921248</v>
      </c>
    </row>
    <row r="159" spans="1:28" ht="15">
      <c r="A159" s="164">
        <v>366</v>
      </c>
      <c r="B159" s="168">
        <v>437.5</v>
      </c>
      <c r="C159" s="175">
        <v>7</v>
      </c>
      <c r="D159" s="166">
        <v>77</v>
      </c>
      <c r="E159" s="55"/>
      <c r="F159" s="166">
        <v>0</v>
      </c>
      <c r="G159" s="55"/>
      <c r="H159" s="165">
        <v>197</v>
      </c>
      <c r="I159" s="55"/>
      <c r="J159" s="55"/>
      <c r="K159" s="55"/>
      <c r="L159" s="166">
        <v>0</v>
      </c>
      <c r="M159" s="55"/>
      <c r="N159" s="55"/>
      <c r="O159" s="168">
        <v>178</v>
      </c>
      <c r="P159" s="55"/>
      <c r="Q159" s="55"/>
      <c r="R159" s="55"/>
      <c r="S159" s="55"/>
      <c r="T159" s="170">
        <v>0</v>
      </c>
      <c r="U159" s="169">
        <v>0</v>
      </c>
      <c r="V159" s="171">
        <v>0</v>
      </c>
      <c r="W159" s="55"/>
      <c r="X159" s="172">
        <v>0</v>
      </c>
      <c r="Y159" s="55"/>
      <c r="Z159" s="170">
        <v>0</v>
      </c>
      <c r="AA159" s="168">
        <v>0</v>
      </c>
      <c r="AB159" s="167">
        <v>3913225</v>
      </c>
    </row>
    <row r="160" spans="1:28" ht="15">
      <c r="A160" s="164">
        <v>367</v>
      </c>
      <c r="B160" s="168">
        <v>1133</v>
      </c>
      <c r="C160" s="175">
        <v>12</v>
      </c>
      <c r="D160" s="166">
        <v>340.1</v>
      </c>
      <c r="E160" s="55"/>
      <c r="F160" s="166">
        <v>0</v>
      </c>
      <c r="G160" s="55"/>
      <c r="H160" s="165">
        <v>677</v>
      </c>
      <c r="I160" s="55"/>
      <c r="J160" s="55"/>
      <c r="K160" s="55"/>
      <c r="L160" s="166">
        <v>0</v>
      </c>
      <c r="M160" s="55"/>
      <c r="N160" s="55"/>
      <c r="O160" s="168">
        <v>232</v>
      </c>
      <c r="P160" s="55"/>
      <c r="Q160" s="55"/>
      <c r="R160" s="55"/>
      <c r="S160" s="55"/>
      <c r="T160" s="170">
        <v>0</v>
      </c>
      <c r="U160" s="169">
        <v>0</v>
      </c>
      <c r="V160" s="171">
        <v>0</v>
      </c>
      <c r="W160" s="55"/>
      <c r="X160" s="172">
        <v>0</v>
      </c>
      <c r="Y160" s="55"/>
      <c r="Z160" s="170">
        <v>0</v>
      </c>
      <c r="AA160" s="168">
        <v>0</v>
      </c>
      <c r="AB160" s="167">
        <v>8568335</v>
      </c>
    </row>
    <row r="161" spans="1:28" ht="15">
      <c r="A161" s="164">
        <v>368</v>
      </c>
      <c r="B161" s="168">
        <v>1874.9</v>
      </c>
      <c r="C161" s="175">
        <v>0</v>
      </c>
      <c r="D161" s="166">
        <v>495.2</v>
      </c>
      <c r="E161" s="55"/>
      <c r="F161" s="166">
        <v>13</v>
      </c>
      <c r="G161" s="55"/>
      <c r="H161" s="165">
        <v>586</v>
      </c>
      <c r="I161" s="55"/>
      <c r="J161" s="55"/>
      <c r="K161" s="55"/>
      <c r="L161" s="166">
        <v>0</v>
      </c>
      <c r="M161" s="55"/>
      <c r="N161" s="55"/>
      <c r="O161" s="168">
        <v>810.4</v>
      </c>
      <c r="P161" s="55"/>
      <c r="Q161" s="55"/>
      <c r="R161" s="55"/>
      <c r="S161" s="55"/>
      <c r="T161" s="170">
        <v>0</v>
      </c>
      <c r="U161" s="169">
        <v>0</v>
      </c>
      <c r="V161" s="171">
        <v>0</v>
      </c>
      <c r="W161" s="55"/>
      <c r="X161" s="172">
        <v>0</v>
      </c>
      <c r="Y161" s="55"/>
      <c r="Z161" s="170">
        <v>0</v>
      </c>
      <c r="AA161" s="168">
        <v>0</v>
      </c>
      <c r="AB161" s="167">
        <v>11660228</v>
      </c>
    </row>
    <row r="162" spans="1:28" ht="15">
      <c r="A162" s="164">
        <v>369</v>
      </c>
      <c r="B162" s="168">
        <v>230</v>
      </c>
      <c r="C162" s="175">
        <v>2.5</v>
      </c>
      <c r="D162" s="166">
        <v>98.9</v>
      </c>
      <c r="E162" s="55"/>
      <c r="F162" s="166">
        <v>0.3</v>
      </c>
      <c r="G162" s="55"/>
      <c r="H162" s="165">
        <v>126</v>
      </c>
      <c r="I162" s="55"/>
      <c r="J162" s="55"/>
      <c r="K162" s="55"/>
      <c r="L162" s="166">
        <v>0</v>
      </c>
      <c r="M162" s="55"/>
      <c r="N162" s="55"/>
      <c r="O162" s="168">
        <v>32</v>
      </c>
      <c r="P162" s="55"/>
      <c r="Q162" s="55"/>
      <c r="R162" s="55"/>
      <c r="S162" s="55"/>
      <c r="T162" s="170">
        <v>0</v>
      </c>
      <c r="U162" s="169">
        <v>0</v>
      </c>
      <c r="V162" s="171">
        <v>0</v>
      </c>
      <c r="W162" s="55"/>
      <c r="X162" s="172">
        <v>0</v>
      </c>
      <c r="Y162" s="55"/>
      <c r="Z162" s="170">
        <v>0</v>
      </c>
      <c r="AA162" s="168">
        <v>0</v>
      </c>
      <c r="AB162" s="167">
        <v>2129322</v>
      </c>
    </row>
    <row r="163" spans="1:28" ht="15">
      <c r="A163" s="164">
        <v>371</v>
      </c>
      <c r="B163" s="168">
        <v>233.8</v>
      </c>
      <c r="C163" s="175">
        <v>1.5</v>
      </c>
      <c r="D163" s="166">
        <v>53.5</v>
      </c>
      <c r="E163" s="55"/>
      <c r="F163" s="166">
        <v>340.7</v>
      </c>
      <c r="G163" s="55"/>
      <c r="H163" s="165">
        <v>64</v>
      </c>
      <c r="I163" s="55"/>
      <c r="J163" s="55"/>
      <c r="K163" s="55"/>
      <c r="L163" s="166">
        <v>0</v>
      </c>
      <c r="M163" s="55"/>
      <c r="N163" s="55"/>
      <c r="O163" s="168">
        <v>73</v>
      </c>
      <c r="P163" s="55"/>
      <c r="Q163" s="55"/>
      <c r="R163" s="55"/>
      <c r="S163" s="55"/>
      <c r="T163" s="170">
        <v>0</v>
      </c>
      <c r="U163" s="169">
        <v>0</v>
      </c>
      <c r="V163" s="171">
        <v>0</v>
      </c>
      <c r="W163" s="55"/>
      <c r="X163" s="172">
        <v>0</v>
      </c>
      <c r="Y163" s="55"/>
      <c r="Z163" s="170">
        <v>0</v>
      </c>
      <c r="AA163" s="168">
        <v>0</v>
      </c>
      <c r="AB163" s="167">
        <v>1971964</v>
      </c>
    </row>
    <row r="164" spans="1:28" ht="15">
      <c r="A164" s="164">
        <v>372</v>
      </c>
      <c r="B164" s="168">
        <v>686.2</v>
      </c>
      <c r="C164" s="175">
        <v>4.5</v>
      </c>
      <c r="D164" s="166">
        <v>344.5</v>
      </c>
      <c r="E164" s="55"/>
      <c r="F164" s="166">
        <v>1.1000000000000001</v>
      </c>
      <c r="G164" s="55"/>
      <c r="H164" s="165">
        <v>94</v>
      </c>
      <c r="I164" s="55"/>
      <c r="J164" s="55"/>
      <c r="K164" s="55"/>
      <c r="L164" s="166">
        <v>0</v>
      </c>
      <c r="M164" s="55"/>
      <c r="N164" s="55"/>
      <c r="O164" s="168">
        <v>298</v>
      </c>
      <c r="P164" s="55"/>
      <c r="Q164" s="55"/>
      <c r="R164" s="55"/>
      <c r="S164" s="55"/>
      <c r="T164" s="170">
        <v>0</v>
      </c>
      <c r="U164" s="169">
        <v>0</v>
      </c>
      <c r="V164" s="171">
        <v>0</v>
      </c>
      <c r="W164" s="55"/>
      <c r="X164" s="172">
        <v>0</v>
      </c>
      <c r="Y164" s="55"/>
      <c r="Z164" s="170">
        <v>0</v>
      </c>
      <c r="AA164" s="168">
        <v>0</v>
      </c>
      <c r="AB164" s="167">
        <v>4577966</v>
      </c>
    </row>
    <row r="165" spans="1:28" ht="15">
      <c r="A165" s="164">
        <v>373</v>
      </c>
      <c r="B165" s="168">
        <v>3346.4</v>
      </c>
      <c r="C165" s="175">
        <v>28</v>
      </c>
      <c r="D165" s="166">
        <v>698.4</v>
      </c>
      <c r="E165" s="55"/>
      <c r="F165" s="166">
        <v>526.6</v>
      </c>
      <c r="G165" s="55"/>
      <c r="H165" s="165">
        <v>1590</v>
      </c>
      <c r="I165" s="55"/>
      <c r="J165" s="55"/>
      <c r="K165" s="55"/>
      <c r="L165" s="166">
        <v>0</v>
      </c>
      <c r="M165" s="55"/>
      <c r="N165" s="55"/>
      <c r="O165" s="168">
        <v>339</v>
      </c>
      <c r="P165" s="55"/>
      <c r="Q165" s="55"/>
      <c r="R165" s="55"/>
      <c r="S165" s="55"/>
      <c r="T165" s="170">
        <v>77.5</v>
      </c>
      <c r="U165" s="169">
        <v>0</v>
      </c>
      <c r="V165" s="171">
        <v>0</v>
      </c>
      <c r="W165" s="55"/>
      <c r="X165" s="172">
        <v>0</v>
      </c>
      <c r="Y165" s="55"/>
      <c r="Z165" s="170">
        <v>0</v>
      </c>
      <c r="AA165" s="168">
        <v>0</v>
      </c>
      <c r="AB165" s="167">
        <v>21052581</v>
      </c>
    </row>
    <row r="166" spans="1:28" ht="15">
      <c r="A166" s="164">
        <v>374</v>
      </c>
      <c r="B166" s="168">
        <v>443.2</v>
      </c>
      <c r="C166" s="175">
        <v>9.5</v>
      </c>
      <c r="D166" s="166">
        <v>0</v>
      </c>
      <c r="E166" s="55"/>
      <c r="F166" s="166">
        <v>966.2</v>
      </c>
      <c r="G166" s="55"/>
      <c r="H166" s="165">
        <v>255</v>
      </c>
      <c r="I166" s="55"/>
      <c r="J166" s="55"/>
      <c r="K166" s="55"/>
      <c r="L166" s="166">
        <v>0</v>
      </c>
      <c r="M166" s="55"/>
      <c r="N166" s="55"/>
      <c r="O166" s="168">
        <v>86</v>
      </c>
      <c r="P166" s="55"/>
      <c r="Q166" s="55"/>
      <c r="R166" s="55"/>
      <c r="S166" s="55"/>
      <c r="T166" s="170">
        <v>2.9</v>
      </c>
      <c r="U166" s="169">
        <v>0</v>
      </c>
      <c r="V166" s="171">
        <v>0</v>
      </c>
      <c r="W166" s="55"/>
      <c r="X166" s="172">
        <v>0</v>
      </c>
      <c r="Y166" s="55"/>
      <c r="Z166" s="170">
        <v>0</v>
      </c>
      <c r="AA166" s="168">
        <v>0</v>
      </c>
      <c r="AB166" s="167">
        <v>3840687</v>
      </c>
    </row>
    <row r="167" spans="1:28" ht="15">
      <c r="A167" s="164">
        <v>375</v>
      </c>
      <c r="B167" s="168">
        <v>1808.8</v>
      </c>
      <c r="C167" s="175">
        <v>0</v>
      </c>
      <c r="D167" s="166">
        <v>396.1</v>
      </c>
      <c r="E167" s="55"/>
      <c r="F167" s="166">
        <v>5.5</v>
      </c>
      <c r="G167" s="55"/>
      <c r="H167" s="165">
        <v>425</v>
      </c>
      <c r="I167" s="55"/>
      <c r="J167" s="55"/>
      <c r="K167" s="55"/>
      <c r="L167" s="166">
        <v>96.4</v>
      </c>
      <c r="M167" s="55"/>
      <c r="N167" s="55"/>
      <c r="O167" s="168">
        <v>700</v>
      </c>
      <c r="P167" s="55"/>
      <c r="Q167" s="55"/>
      <c r="R167" s="55"/>
      <c r="S167" s="55"/>
      <c r="T167" s="170">
        <v>22.1</v>
      </c>
      <c r="U167" s="169">
        <v>0</v>
      </c>
      <c r="V167" s="171">
        <v>0</v>
      </c>
      <c r="W167" s="55"/>
      <c r="X167" s="172">
        <v>0</v>
      </c>
      <c r="Y167" s="55"/>
      <c r="Z167" s="170">
        <v>0</v>
      </c>
      <c r="AA167" s="168">
        <v>0</v>
      </c>
      <c r="AB167" s="167">
        <v>10858327</v>
      </c>
    </row>
    <row r="168" spans="1:28" ht="15">
      <c r="A168" s="164">
        <v>376</v>
      </c>
      <c r="B168" s="168">
        <v>495.3</v>
      </c>
      <c r="C168" s="175">
        <v>4.5</v>
      </c>
      <c r="D168" s="166">
        <v>108.2</v>
      </c>
      <c r="E168" s="55"/>
      <c r="F168" s="166">
        <v>6.7</v>
      </c>
      <c r="G168" s="55"/>
      <c r="H168" s="165">
        <v>161</v>
      </c>
      <c r="I168" s="55"/>
      <c r="J168" s="55"/>
      <c r="K168" s="55"/>
      <c r="L168" s="166">
        <v>14</v>
      </c>
      <c r="M168" s="55"/>
      <c r="N168" s="55"/>
      <c r="O168" s="168">
        <v>121.5</v>
      </c>
      <c r="P168" s="55"/>
      <c r="Q168" s="55"/>
      <c r="R168" s="55"/>
      <c r="S168" s="55"/>
      <c r="T168" s="170">
        <v>0</v>
      </c>
      <c r="U168" s="169">
        <v>0</v>
      </c>
      <c r="V168" s="171">
        <v>0</v>
      </c>
      <c r="W168" s="55"/>
      <c r="X168" s="172">
        <v>0</v>
      </c>
      <c r="Y168" s="55"/>
      <c r="Z168" s="170">
        <v>0</v>
      </c>
      <c r="AA168" s="168">
        <v>0</v>
      </c>
      <c r="AB168" s="167">
        <v>3851433</v>
      </c>
    </row>
    <row r="169" spans="1:28" ht="15">
      <c r="A169" s="164">
        <v>377</v>
      </c>
      <c r="B169" s="168">
        <v>580</v>
      </c>
      <c r="C169" s="175">
        <v>6.5</v>
      </c>
      <c r="D169" s="166">
        <v>66.3</v>
      </c>
      <c r="E169" s="55"/>
      <c r="F169" s="166">
        <v>0</v>
      </c>
      <c r="G169" s="55"/>
      <c r="H169" s="165">
        <v>261</v>
      </c>
      <c r="I169" s="55"/>
      <c r="J169" s="55"/>
      <c r="K169" s="55"/>
      <c r="L169" s="166">
        <v>0</v>
      </c>
      <c r="M169" s="55"/>
      <c r="N169" s="55"/>
      <c r="O169" s="168">
        <v>390</v>
      </c>
      <c r="P169" s="55"/>
      <c r="Q169" s="55"/>
      <c r="R169" s="55"/>
      <c r="S169" s="55"/>
      <c r="T169" s="170">
        <v>2</v>
      </c>
      <c r="U169" s="169">
        <v>0</v>
      </c>
      <c r="V169" s="171">
        <v>0</v>
      </c>
      <c r="W169" s="55"/>
      <c r="X169" s="172">
        <v>0</v>
      </c>
      <c r="Y169" s="55"/>
      <c r="Z169" s="170">
        <v>0</v>
      </c>
      <c r="AA169" s="168">
        <v>0</v>
      </c>
      <c r="AB169" s="167">
        <v>5073068</v>
      </c>
    </row>
    <row r="170" spans="1:28" ht="15">
      <c r="A170" s="164">
        <v>378</v>
      </c>
      <c r="B170" s="168">
        <v>674</v>
      </c>
      <c r="C170" s="175">
        <v>0</v>
      </c>
      <c r="D170" s="166">
        <v>148.19999999999999</v>
      </c>
      <c r="E170" s="55"/>
      <c r="F170" s="166">
        <v>0</v>
      </c>
      <c r="G170" s="55"/>
      <c r="H170" s="165">
        <v>110</v>
      </c>
      <c r="I170" s="55"/>
      <c r="J170" s="55"/>
      <c r="K170" s="55"/>
      <c r="L170" s="166">
        <v>0</v>
      </c>
      <c r="M170" s="55"/>
      <c r="N170" s="55"/>
      <c r="O170" s="168">
        <v>429</v>
      </c>
      <c r="P170" s="55"/>
      <c r="Q170" s="55"/>
      <c r="R170" s="55"/>
      <c r="S170" s="55"/>
      <c r="T170" s="170">
        <v>18</v>
      </c>
      <c r="U170" s="169">
        <v>0</v>
      </c>
      <c r="V170" s="171">
        <v>0</v>
      </c>
      <c r="W170" s="55"/>
      <c r="X170" s="172">
        <v>0</v>
      </c>
      <c r="Y170" s="55"/>
      <c r="Z170" s="170">
        <v>0</v>
      </c>
      <c r="AA170" s="168">
        <v>0</v>
      </c>
      <c r="AB170" s="167">
        <v>5057333</v>
      </c>
    </row>
    <row r="171" spans="1:28" ht="15">
      <c r="A171" s="164">
        <v>379</v>
      </c>
      <c r="B171" s="168">
        <v>1346.3</v>
      </c>
      <c r="C171" s="175">
        <v>0</v>
      </c>
      <c r="D171" s="166">
        <v>431.2</v>
      </c>
      <c r="E171" s="55"/>
      <c r="F171" s="166">
        <v>18.100000000000001</v>
      </c>
      <c r="G171" s="55"/>
      <c r="H171" s="165">
        <v>427</v>
      </c>
      <c r="I171" s="55"/>
      <c r="J171" s="55"/>
      <c r="K171" s="55"/>
      <c r="L171" s="166">
        <v>0</v>
      </c>
      <c r="M171" s="55"/>
      <c r="N171" s="55"/>
      <c r="O171" s="168">
        <v>436</v>
      </c>
      <c r="P171" s="55"/>
      <c r="Q171" s="55"/>
      <c r="R171" s="55"/>
      <c r="S171" s="55"/>
      <c r="T171" s="170">
        <v>11.3</v>
      </c>
      <c r="U171" s="169">
        <v>0</v>
      </c>
      <c r="V171" s="171">
        <v>0</v>
      </c>
      <c r="W171" s="55"/>
      <c r="X171" s="172">
        <v>0</v>
      </c>
      <c r="Y171" s="55"/>
      <c r="Z171" s="170">
        <v>0</v>
      </c>
      <c r="AA171" s="168">
        <v>0</v>
      </c>
      <c r="AB171" s="167">
        <v>8721087</v>
      </c>
    </row>
    <row r="172" spans="1:28" ht="15">
      <c r="A172" s="164">
        <v>380</v>
      </c>
      <c r="B172" s="168">
        <v>518</v>
      </c>
      <c r="C172" s="175">
        <v>9</v>
      </c>
      <c r="D172" s="166">
        <v>71.900000000000006</v>
      </c>
      <c r="E172" s="55"/>
      <c r="F172" s="166">
        <v>0</v>
      </c>
      <c r="G172" s="55"/>
      <c r="H172" s="165">
        <v>138</v>
      </c>
      <c r="I172" s="55"/>
      <c r="J172" s="55"/>
      <c r="K172" s="55"/>
      <c r="L172" s="166">
        <v>0</v>
      </c>
      <c r="M172" s="55"/>
      <c r="N172" s="55"/>
      <c r="O172" s="168">
        <v>280</v>
      </c>
      <c r="P172" s="55"/>
      <c r="Q172" s="55"/>
      <c r="R172" s="55"/>
      <c r="S172" s="55"/>
      <c r="T172" s="170">
        <v>0</v>
      </c>
      <c r="U172" s="169">
        <v>0</v>
      </c>
      <c r="V172" s="171">
        <v>0</v>
      </c>
      <c r="W172" s="55"/>
      <c r="X172" s="172">
        <v>0</v>
      </c>
      <c r="Y172" s="55"/>
      <c r="Z172" s="170">
        <v>0</v>
      </c>
      <c r="AA172" s="168">
        <v>0</v>
      </c>
      <c r="AB172" s="167">
        <v>3788490</v>
      </c>
    </row>
    <row r="173" spans="1:28" ht="15">
      <c r="A173" s="164">
        <v>381</v>
      </c>
      <c r="B173" s="168">
        <v>340.5</v>
      </c>
      <c r="C173" s="175">
        <v>0</v>
      </c>
      <c r="D173" s="166">
        <v>125.1</v>
      </c>
      <c r="E173" s="55"/>
      <c r="F173" s="166">
        <v>36.4</v>
      </c>
      <c r="G173" s="55"/>
      <c r="H173" s="165">
        <v>92</v>
      </c>
      <c r="I173" s="55"/>
      <c r="J173" s="55"/>
      <c r="K173" s="55"/>
      <c r="L173" s="166">
        <v>79.099999999999994</v>
      </c>
      <c r="M173" s="55"/>
      <c r="N173" s="55"/>
      <c r="O173" s="168">
        <v>56</v>
      </c>
      <c r="P173" s="55"/>
      <c r="Q173" s="55"/>
      <c r="R173" s="55"/>
      <c r="S173" s="55"/>
      <c r="T173" s="170">
        <v>0</v>
      </c>
      <c r="U173" s="169">
        <v>0</v>
      </c>
      <c r="V173" s="171">
        <v>0</v>
      </c>
      <c r="W173" s="55"/>
      <c r="X173" s="172">
        <v>0</v>
      </c>
      <c r="Y173" s="55"/>
      <c r="Z173" s="170">
        <v>0</v>
      </c>
      <c r="AA173" s="168">
        <v>0</v>
      </c>
      <c r="AB173" s="167">
        <v>2627495</v>
      </c>
    </row>
    <row r="174" spans="1:28" ht="15">
      <c r="A174" s="164">
        <v>382</v>
      </c>
      <c r="B174" s="168">
        <v>1164.0999999999999</v>
      </c>
      <c r="C174" s="175">
        <v>12</v>
      </c>
      <c r="D174" s="166">
        <v>136</v>
      </c>
      <c r="E174" s="55"/>
      <c r="F174" s="166">
        <v>249</v>
      </c>
      <c r="G174" s="55"/>
      <c r="H174" s="165">
        <v>448</v>
      </c>
      <c r="I174" s="55"/>
      <c r="J174" s="55"/>
      <c r="K174" s="55"/>
      <c r="L174" s="166">
        <v>0</v>
      </c>
      <c r="M174" s="55"/>
      <c r="N174" s="55"/>
      <c r="O174" s="168">
        <v>147</v>
      </c>
      <c r="P174" s="55"/>
      <c r="Q174" s="55"/>
      <c r="R174" s="55"/>
      <c r="S174" s="55"/>
      <c r="T174" s="170">
        <v>0</v>
      </c>
      <c r="U174" s="169">
        <v>0</v>
      </c>
      <c r="V174" s="171">
        <v>0</v>
      </c>
      <c r="W174" s="55"/>
      <c r="X174" s="172">
        <v>0</v>
      </c>
      <c r="Y174" s="55"/>
      <c r="Z174" s="170">
        <v>0</v>
      </c>
      <c r="AA174" s="168">
        <v>0</v>
      </c>
      <c r="AB174" s="167">
        <v>7552800</v>
      </c>
    </row>
    <row r="175" spans="1:28" ht="15">
      <c r="A175" s="164">
        <v>383</v>
      </c>
      <c r="B175" s="168">
        <v>5659.2</v>
      </c>
      <c r="C175" s="175">
        <v>33</v>
      </c>
      <c r="D175" s="166">
        <v>664.4</v>
      </c>
      <c r="E175" s="55"/>
      <c r="F175" s="166">
        <v>1047.7</v>
      </c>
      <c r="G175" s="55"/>
      <c r="H175" s="165">
        <v>1801</v>
      </c>
      <c r="I175" s="55"/>
      <c r="J175" s="55"/>
      <c r="K175" s="55"/>
      <c r="L175" s="166">
        <v>127</v>
      </c>
      <c r="M175" s="55"/>
      <c r="N175" s="55"/>
      <c r="O175" s="168">
        <v>2485</v>
      </c>
      <c r="P175" s="55"/>
      <c r="Q175" s="55"/>
      <c r="R175" s="55"/>
      <c r="S175" s="55"/>
      <c r="T175" s="170">
        <v>268.89999999999998</v>
      </c>
      <c r="U175" s="169">
        <v>67</v>
      </c>
      <c r="V175" s="171">
        <v>4</v>
      </c>
      <c r="W175" s="55"/>
      <c r="X175" s="172">
        <v>1</v>
      </c>
      <c r="Y175" s="55"/>
      <c r="Z175" s="170">
        <v>79</v>
      </c>
      <c r="AA175" s="168">
        <v>4</v>
      </c>
      <c r="AB175" s="167">
        <v>37850538</v>
      </c>
    </row>
    <row r="176" spans="1:28" ht="15">
      <c r="A176" s="164">
        <v>384</v>
      </c>
      <c r="B176" s="168">
        <v>178</v>
      </c>
      <c r="C176" s="175">
        <v>1</v>
      </c>
      <c r="D176" s="166">
        <v>62.3</v>
      </c>
      <c r="E176" s="55"/>
      <c r="F176" s="166">
        <v>0</v>
      </c>
      <c r="G176" s="55"/>
      <c r="H176" s="165">
        <v>30</v>
      </c>
      <c r="I176" s="55"/>
      <c r="J176" s="55"/>
      <c r="K176" s="55"/>
      <c r="L176" s="166">
        <v>0</v>
      </c>
      <c r="M176" s="55"/>
      <c r="N176" s="55"/>
      <c r="O176" s="168">
        <v>125</v>
      </c>
      <c r="P176" s="55"/>
      <c r="Q176" s="55"/>
      <c r="R176" s="55"/>
      <c r="S176" s="55"/>
      <c r="T176" s="170">
        <v>0</v>
      </c>
      <c r="U176" s="169">
        <v>0</v>
      </c>
      <c r="V176" s="171">
        <v>0</v>
      </c>
      <c r="W176" s="55"/>
      <c r="X176" s="172">
        <v>1</v>
      </c>
      <c r="Y176" s="55"/>
      <c r="Z176" s="170">
        <v>0</v>
      </c>
      <c r="AA176" s="168">
        <v>0</v>
      </c>
      <c r="AB176" s="167">
        <v>1888296</v>
      </c>
    </row>
    <row r="177" spans="1:28" ht="15">
      <c r="A177" s="164">
        <v>385</v>
      </c>
      <c r="B177" s="168">
        <v>4799.1000000000004</v>
      </c>
      <c r="C177" s="175">
        <v>23.5</v>
      </c>
      <c r="D177" s="166">
        <v>448.4</v>
      </c>
      <c r="E177" s="55"/>
      <c r="F177" s="166">
        <v>138.5</v>
      </c>
      <c r="G177" s="55"/>
      <c r="H177" s="165">
        <v>655</v>
      </c>
      <c r="I177" s="55"/>
      <c r="J177" s="55"/>
      <c r="K177" s="55"/>
      <c r="L177" s="166">
        <v>0</v>
      </c>
      <c r="M177" s="55"/>
      <c r="N177" s="55"/>
      <c r="O177" s="168">
        <v>1605</v>
      </c>
      <c r="P177" s="55"/>
      <c r="Q177" s="55"/>
      <c r="R177" s="55"/>
      <c r="S177" s="55"/>
      <c r="T177" s="170">
        <v>1008</v>
      </c>
      <c r="U177" s="169">
        <v>0</v>
      </c>
      <c r="V177" s="171">
        <v>0</v>
      </c>
      <c r="W177" s="55"/>
      <c r="X177" s="172">
        <v>1</v>
      </c>
      <c r="Y177" s="55"/>
      <c r="Z177" s="170">
        <v>0</v>
      </c>
      <c r="AA177" s="168">
        <v>0</v>
      </c>
      <c r="AB177" s="167">
        <v>28371304</v>
      </c>
    </row>
    <row r="178" spans="1:28" ht="15">
      <c r="A178" s="164">
        <v>386</v>
      </c>
      <c r="B178" s="168">
        <v>240</v>
      </c>
      <c r="C178" s="175">
        <v>2</v>
      </c>
      <c r="D178" s="166">
        <v>14.2</v>
      </c>
      <c r="E178" s="55"/>
      <c r="F178" s="166">
        <v>0</v>
      </c>
      <c r="G178" s="55"/>
      <c r="H178" s="165">
        <v>102</v>
      </c>
      <c r="I178" s="55"/>
      <c r="J178" s="55"/>
      <c r="K178" s="55"/>
      <c r="L178" s="166">
        <v>0</v>
      </c>
      <c r="M178" s="55"/>
      <c r="N178" s="55"/>
      <c r="O178" s="168">
        <v>80</v>
      </c>
      <c r="P178" s="55"/>
      <c r="Q178" s="55"/>
      <c r="R178" s="55"/>
      <c r="S178" s="55"/>
      <c r="T178" s="170">
        <v>0</v>
      </c>
      <c r="U178" s="169">
        <v>0</v>
      </c>
      <c r="V178" s="171">
        <v>0</v>
      </c>
      <c r="W178" s="55"/>
      <c r="X178" s="172">
        <v>0</v>
      </c>
      <c r="Y178" s="55"/>
      <c r="Z178" s="170">
        <v>0</v>
      </c>
      <c r="AA178" s="168">
        <v>0</v>
      </c>
      <c r="AB178" s="167">
        <v>2134055</v>
      </c>
    </row>
    <row r="179" spans="1:28" ht="15">
      <c r="A179" s="164">
        <v>387</v>
      </c>
      <c r="B179" s="168">
        <v>185.5</v>
      </c>
      <c r="C179" s="175">
        <v>2</v>
      </c>
      <c r="D179" s="166">
        <v>8.5</v>
      </c>
      <c r="E179" s="55"/>
      <c r="F179" s="166">
        <v>0</v>
      </c>
      <c r="G179" s="55"/>
      <c r="H179" s="165">
        <v>106</v>
      </c>
      <c r="I179" s="55"/>
      <c r="J179" s="55"/>
      <c r="K179" s="55"/>
      <c r="L179" s="166">
        <v>0</v>
      </c>
      <c r="M179" s="55"/>
      <c r="N179" s="55"/>
      <c r="O179" s="168">
        <v>105</v>
      </c>
      <c r="P179" s="55"/>
      <c r="Q179" s="55"/>
      <c r="R179" s="55"/>
      <c r="S179" s="55"/>
      <c r="T179" s="170">
        <v>0</v>
      </c>
      <c r="U179" s="169">
        <v>0</v>
      </c>
      <c r="V179" s="171">
        <v>0</v>
      </c>
      <c r="W179" s="55"/>
      <c r="X179" s="172">
        <v>0</v>
      </c>
      <c r="Y179" s="55"/>
      <c r="Z179" s="170">
        <v>0</v>
      </c>
      <c r="AA179" s="168">
        <v>0</v>
      </c>
      <c r="AB179" s="167">
        <v>2061006</v>
      </c>
    </row>
    <row r="180" spans="1:28" ht="15">
      <c r="A180" s="164">
        <v>388</v>
      </c>
      <c r="B180" s="168">
        <v>413</v>
      </c>
      <c r="C180" s="175">
        <v>0</v>
      </c>
      <c r="D180" s="166">
        <v>153.30000000000001</v>
      </c>
      <c r="E180" s="55"/>
      <c r="F180" s="166">
        <v>0</v>
      </c>
      <c r="G180" s="55"/>
      <c r="H180" s="165">
        <v>119</v>
      </c>
      <c r="I180" s="55"/>
      <c r="J180" s="55"/>
      <c r="K180" s="55"/>
      <c r="L180" s="166">
        <v>0</v>
      </c>
      <c r="M180" s="55"/>
      <c r="N180" s="55"/>
      <c r="O180" s="168">
        <v>33.6</v>
      </c>
      <c r="P180" s="55"/>
      <c r="Q180" s="55"/>
      <c r="R180" s="55"/>
      <c r="S180" s="55"/>
      <c r="T180" s="170">
        <v>1</v>
      </c>
      <c r="U180" s="169">
        <v>0</v>
      </c>
      <c r="V180" s="171">
        <v>0</v>
      </c>
      <c r="W180" s="55"/>
      <c r="X180" s="172">
        <v>0</v>
      </c>
      <c r="Y180" s="55"/>
      <c r="Z180" s="170">
        <v>0</v>
      </c>
      <c r="AA180" s="168">
        <v>0</v>
      </c>
      <c r="AB180" s="167">
        <v>2967542</v>
      </c>
    </row>
    <row r="181" spans="1:28" ht="15">
      <c r="A181" s="164">
        <v>389</v>
      </c>
      <c r="B181" s="168">
        <v>628</v>
      </c>
      <c r="C181" s="175">
        <v>16</v>
      </c>
      <c r="D181" s="166">
        <v>95.8</v>
      </c>
      <c r="E181" s="55"/>
      <c r="F181" s="166">
        <v>4</v>
      </c>
      <c r="G181" s="55"/>
      <c r="H181" s="165">
        <v>363</v>
      </c>
      <c r="I181" s="55"/>
      <c r="J181" s="55"/>
      <c r="K181" s="55"/>
      <c r="L181" s="166">
        <v>0</v>
      </c>
      <c r="M181" s="55"/>
      <c r="N181" s="55"/>
      <c r="O181" s="168">
        <v>196</v>
      </c>
      <c r="P181" s="55"/>
      <c r="Q181" s="55"/>
      <c r="R181" s="55"/>
      <c r="S181" s="55"/>
      <c r="T181" s="170">
        <v>0</v>
      </c>
      <c r="U181" s="169">
        <v>0</v>
      </c>
      <c r="V181" s="171">
        <v>0</v>
      </c>
      <c r="W181" s="55"/>
      <c r="X181" s="172">
        <v>0</v>
      </c>
      <c r="Y181" s="55"/>
      <c r="Z181" s="170">
        <v>0</v>
      </c>
      <c r="AA181" s="168">
        <v>0</v>
      </c>
      <c r="AB181" s="167">
        <v>4954474</v>
      </c>
    </row>
    <row r="182" spans="1:28" ht="15">
      <c r="A182" s="164">
        <v>390</v>
      </c>
      <c r="B182" s="168">
        <v>82</v>
      </c>
      <c r="C182" s="175">
        <v>0.5</v>
      </c>
      <c r="D182" s="166">
        <v>0</v>
      </c>
      <c r="E182" s="55"/>
      <c r="F182" s="166">
        <v>0</v>
      </c>
      <c r="G182" s="55"/>
      <c r="H182" s="165">
        <v>40</v>
      </c>
      <c r="I182" s="55"/>
      <c r="J182" s="55"/>
      <c r="K182" s="55"/>
      <c r="L182" s="166">
        <v>0</v>
      </c>
      <c r="M182" s="55"/>
      <c r="N182" s="55"/>
      <c r="O182" s="168">
        <v>23</v>
      </c>
      <c r="P182" s="55"/>
      <c r="Q182" s="55"/>
      <c r="R182" s="55"/>
      <c r="S182" s="55"/>
      <c r="T182" s="170">
        <v>0</v>
      </c>
      <c r="U182" s="169">
        <v>0</v>
      </c>
      <c r="V182" s="171">
        <v>0</v>
      </c>
      <c r="W182" s="55"/>
      <c r="X182" s="172">
        <v>0</v>
      </c>
      <c r="Y182" s="55"/>
      <c r="Z182" s="170">
        <v>0</v>
      </c>
      <c r="AA182" s="168">
        <v>0</v>
      </c>
      <c r="AB182" s="167">
        <v>1098052</v>
      </c>
    </row>
    <row r="183" spans="1:28" ht="15">
      <c r="A183" s="164">
        <v>392</v>
      </c>
      <c r="B183" s="168">
        <v>286.10000000000002</v>
      </c>
      <c r="C183" s="175">
        <v>0</v>
      </c>
      <c r="D183" s="166">
        <v>47.3</v>
      </c>
      <c r="E183" s="55"/>
      <c r="F183" s="166">
        <v>0</v>
      </c>
      <c r="G183" s="55"/>
      <c r="H183" s="165">
        <v>152</v>
      </c>
      <c r="I183" s="55"/>
      <c r="J183" s="55"/>
      <c r="K183" s="55"/>
      <c r="L183" s="166">
        <v>0</v>
      </c>
      <c r="M183" s="55"/>
      <c r="N183" s="55"/>
      <c r="O183" s="168">
        <v>87.5</v>
      </c>
      <c r="P183" s="55"/>
      <c r="Q183" s="55"/>
      <c r="R183" s="55"/>
      <c r="S183" s="55"/>
      <c r="T183" s="170">
        <v>0</v>
      </c>
      <c r="U183" s="169">
        <v>0</v>
      </c>
      <c r="V183" s="171">
        <v>0</v>
      </c>
      <c r="W183" s="55"/>
      <c r="X183" s="172">
        <v>0</v>
      </c>
      <c r="Y183" s="55"/>
      <c r="Z183" s="170">
        <v>0</v>
      </c>
      <c r="AA183" s="168">
        <v>0</v>
      </c>
      <c r="AB183" s="167">
        <v>2717236</v>
      </c>
    </row>
    <row r="184" spans="1:28" ht="15">
      <c r="A184" s="164">
        <v>393</v>
      </c>
      <c r="B184" s="168">
        <v>325.7</v>
      </c>
      <c r="C184" s="175">
        <v>0.5</v>
      </c>
      <c r="D184" s="166">
        <v>103.9</v>
      </c>
      <c r="E184" s="55"/>
      <c r="F184" s="166">
        <v>0</v>
      </c>
      <c r="G184" s="55"/>
      <c r="H184" s="165">
        <v>143</v>
      </c>
      <c r="I184" s="55"/>
      <c r="J184" s="55"/>
      <c r="K184" s="55"/>
      <c r="L184" s="166">
        <v>0</v>
      </c>
      <c r="M184" s="55"/>
      <c r="N184" s="55"/>
      <c r="O184" s="168">
        <v>102</v>
      </c>
      <c r="P184" s="55"/>
      <c r="Q184" s="55"/>
      <c r="R184" s="55"/>
      <c r="S184" s="55"/>
      <c r="T184" s="170">
        <v>0</v>
      </c>
      <c r="U184" s="169">
        <v>0</v>
      </c>
      <c r="V184" s="171">
        <v>0</v>
      </c>
      <c r="W184" s="55"/>
      <c r="X184" s="172">
        <v>0</v>
      </c>
      <c r="Y184" s="55"/>
      <c r="Z184" s="170">
        <v>0</v>
      </c>
      <c r="AA184" s="168">
        <v>0</v>
      </c>
      <c r="AB184" s="167">
        <v>2676621</v>
      </c>
    </row>
    <row r="185" spans="1:28" ht="15">
      <c r="A185" s="164">
        <v>394</v>
      </c>
      <c r="B185" s="168">
        <v>1586.2</v>
      </c>
      <c r="C185" s="175">
        <v>12</v>
      </c>
      <c r="D185" s="166">
        <v>447.2</v>
      </c>
      <c r="E185" s="55"/>
      <c r="F185" s="166">
        <v>30.9</v>
      </c>
      <c r="G185" s="55"/>
      <c r="H185" s="165">
        <v>384</v>
      </c>
      <c r="I185" s="55"/>
      <c r="J185" s="55"/>
      <c r="K185" s="55"/>
      <c r="L185" s="166">
        <v>0</v>
      </c>
      <c r="M185" s="55"/>
      <c r="N185" s="55"/>
      <c r="O185" s="168">
        <v>599</v>
      </c>
      <c r="P185" s="55"/>
      <c r="Q185" s="55"/>
      <c r="R185" s="55"/>
      <c r="S185" s="55"/>
      <c r="T185" s="170">
        <v>16.7</v>
      </c>
      <c r="U185" s="169">
        <v>0</v>
      </c>
      <c r="V185" s="171">
        <v>0</v>
      </c>
      <c r="W185" s="55"/>
      <c r="X185" s="172">
        <v>0</v>
      </c>
      <c r="Y185" s="55"/>
      <c r="Z185" s="170">
        <v>0</v>
      </c>
      <c r="AA185" s="168">
        <v>0</v>
      </c>
      <c r="AB185" s="167">
        <v>9164376</v>
      </c>
    </row>
    <row r="186" spans="1:28" ht="15">
      <c r="A186" s="164">
        <v>395</v>
      </c>
      <c r="B186" s="168">
        <v>274</v>
      </c>
      <c r="C186" s="175">
        <v>0</v>
      </c>
      <c r="D186" s="166">
        <v>108.5</v>
      </c>
      <c r="E186" s="55"/>
      <c r="F186" s="166">
        <v>0</v>
      </c>
      <c r="G186" s="55"/>
      <c r="H186" s="165">
        <v>109</v>
      </c>
      <c r="I186" s="55"/>
      <c r="J186" s="55"/>
      <c r="K186" s="55"/>
      <c r="L186" s="166">
        <v>0</v>
      </c>
      <c r="M186" s="55"/>
      <c r="N186" s="55"/>
      <c r="O186" s="168">
        <v>78</v>
      </c>
      <c r="P186" s="55"/>
      <c r="Q186" s="55"/>
      <c r="R186" s="55"/>
      <c r="S186" s="55"/>
      <c r="T186" s="170">
        <v>0</v>
      </c>
      <c r="U186" s="169">
        <v>0</v>
      </c>
      <c r="V186" s="171">
        <v>0</v>
      </c>
      <c r="W186" s="55"/>
      <c r="X186" s="172">
        <v>1</v>
      </c>
      <c r="Y186" s="55"/>
      <c r="Z186" s="170">
        <v>0</v>
      </c>
      <c r="AA186" s="168">
        <v>0</v>
      </c>
      <c r="AB186" s="167">
        <v>2289751</v>
      </c>
    </row>
    <row r="187" spans="1:28" ht="15">
      <c r="A187" s="164">
        <v>396</v>
      </c>
      <c r="B187" s="168">
        <v>666.8</v>
      </c>
      <c r="C187" s="175">
        <v>3.5</v>
      </c>
      <c r="D187" s="166">
        <v>231.4</v>
      </c>
      <c r="E187" s="55"/>
      <c r="F187" s="166">
        <v>9.5</v>
      </c>
      <c r="G187" s="55"/>
      <c r="H187" s="165">
        <v>208</v>
      </c>
      <c r="I187" s="55"/>
      <c r="J187" s="55"/>
      <c r="K187" s="55"/>
      <c r="L187" s="166">
        <v>0</v>
      </c>
      <c r="M187" s="55"/>
      <c r="N187" s="55"/>
      <c r="O187" s="168">
        <v>207</v>
      </c>
      <c r="P187" s="55"/>
      <c r="Q187" s="55"/>
      <c r="R187" s="55"/>
      <c r="S187" s="55"/>
      <c r="T187" s="170">
        <v>20.5</v>
      </c>
      <c r="U187" s="169">
        <v>0</v>
      </c>
      <c r="V187" s="171">
        <v>0</v>
      </c>
      <c r="W187" s="55"/>
      <c r="X187" s="172">
        <v>0</v>
      </c>
      <c r="Y187" s="55"/>
      <c r="Z187" s="170">
        <v>0</v>
      </c>
      <c r="AA187" s="168">
        <v>0</v>
      </c>
      <c r="AB187" s="167">
        <v>5314116</v>
      </c>
    </row>
    <row r="188" spans="1:28" ht="15">
      <c r="A188" s="164">
        <v>397</v>
      </c>
      <c r="B188" s="168">
        <v>227</v>
      </c>
      <c r="C188" s="175">
        <v>0</v>
      </c>
      <c r="D188" s="166">
        <v>109.7</v>
      </c>
      <c r="E188" s="55"/>
      <c r="F188" s="166">
        <v>0</v>
      </c>
      <c r="G188" s="55"/>
      <c r="H188" s="165">
        <v>72</v>
      </c>
      <c r="I188" s="55"/>
      <c r="J188" s="55"/>
      <c r="K188" s="55"/>
      <c r="L188" s="166">
        <v>0</v>
      </c>
      <c r="M188" s="55"/>
      <c r="N188" s="55"/>
      <c r="O188" s="168">
        <v>185</v>
      </c>
      <c r="P188" s="55"/>
      <c r="Q188" s="55"/>
      <c r="R188" s="55"/>
      <c r="S188" s="55"/>
      <c r="T188" s="170">
        <v>167.3</v>
      </c>
      <c r="U188" s="169">
        <v>0</v>
      </c>
      <c r="V188" s="171">
        <v>0</v>
      </c>
      <c r="W188" s="55"/>
      <c r="X188" s="172">
        <v>0</v>
      </c>
      <c r="Y188" s="55"/>
      <c r="Z188" s="170">
        <v>0</v>
      </c>
      <c r="AA188" s="168">
        <v>0</v>
      </c>
      <c r="AB188" s="167">
        <v>2990953</v>
      </c>
    </row>
    <row r="189" spans="1:28" ht="15">
      <c r="A189" s="164">
        <v>398</v>
      </c>
      <c r="B189" s="168">
        <v>255.5</v>
      </c>
      <c r="C189" s="175">
        <v>4.5</v>
      </c>
      <c r="D189" s="166">
        <v>114.6</v>
      </c>
      <c r="E189" s="55"/>
      <c r="F189" s="166">
        <v>0</v>
      </c>
      <c r="G189" s="55"/>
      <c r="H189" s="165">
        <v>128</v>
      </c>
      <c r="I189" s="55"/>
      <c r="J189" s="55"/>
      <c r="K189" s="55"/>
      <c r="L189" s="166">
        <v>0</v>
      </c>
      <c r="M189" s="55"/>
      <c r="N189" s="55"/>
      <c r="O189" s="168">
        <v>87</v>
      </c>
      <c r="P189" s="55"/>
      <c r="Q189" s="55"/>
      <c r="R189" s="55"/>
      <c r="S189" s="55"/>
      <c r="T189" s="170">
        <v>0</v>
      </c>
      <c r="U189" s="169">
        <v>0</v>
      </c>
      <c r="V189" s="171">
        <v>0</v>
      </c>
      <c r="W189" s="55"/>
      <c r="X189" s="172">
        <v>0</v>
      </c>
      <c r="Y189" s="55"/>
      <c r="Z189" s="170">
        <v>0</v>
      </c>
      <c r="AA189" s="168">
        <v>0</v>
      </c>
      <c r="AB189" s="167">
        <v>2527323</v>
      </c>
    </row>
    <row r="190" spans="1:28" ht="15">
      <c r="A190" s="164">
        <v>399</v>
      </c>
      <c r="B190" s="168">
        <v>127.5</v>
      </c>
      <c r="C190" s="175">
        <v>2.5</v>
      </c>
      <c r="D190" s="166">
        <v>72.2</v>
      </c>
      <c r="E190" s="55"/>
      <c r="F190" s="166">
        <v>5.0999999999999996</v>
      </c>
      <c r="G190" s="55"/>
      <c r="H190" s="165">
        <v>40</v>
      </c>
      <c r="I190" s="55"/>
      <c r="J190" s="55"/>
      <c r="K190" s="55"/>
      <c r="L190" s="166">
        <v>0</v>
      </c>
      <c r="M190" s="55"/>
      <c r="N190" s="55"/>
      <c r="O190" s="168">
        <v>42</v>
      </c>
      <c r="P190" s="55"/>
      <c r="Q190" s="55"/>
      <c r="R190" s="55"/>
      <c r="S190" s="55"/>
      <c r="T190" s="170">
        <v>0</v>
      </c>
      <c r="U190" s="169">
        <v>0</v>
      </c>
      <c r="V190" s="171">
        <v>0</v>
      </c>
      <c r="W190" s="55"/>
      <c r="X190" s="172">
        <v>0</v>
      </c>
      <c r="Y190" s="55"/>
      <c r="Z190" s="170">
        <v>0</v>
      </c>
      <c r="AA190" s="168">
        <v>0</v>
      </c>
      <c r="AB190" s="167">
        <v>1440785</v>
      </c>
    </row>
    <row r="191" spans="1:28" ht="15">
      <c r="A191" s="164">
        <v>400</v>
      </c>
      <c r="B191" s="168">
        <v>857.2</v>
      </c>
      <c r="C191" s="175">
        <v>14</v>
      </c>
      <c r="D191" s="166">
        <v>214.3</v>
      </c>
      <c r="E191" s="55"/>
      <c r="F191" s="166">
        <v>8.8000000000000007</v>
      </c>
      <c r="G191" s="55"/>
      <c r="H191" s="165">
        <v>213</v>
      </c>
      <c r="I191" s="55"/>
      <c r="J191" s="55"/>
      <c r="K191" s="55"/>
      <c r="L191" s="166">
        <v>0</v>
      </c>
      <c r="M191" s="55"/>
      <c r="N191" s="55"/>
      <c r="O191" s="168">
        <v>293</v>
      </c>
      <c r="P191" s="55"/>
      <c r="Q191" s="55"/>
      <c r="R191" s="55"/>
      <c r="S191" s="55"/>
      <c r="T191" s="170">
        <v>83.2</v>
      </c>
      <c r="U191" s="169">
        <v>5</v>
      </c>
      <c r="V191" s="171">
        <v>0</v>
      </c>
      <c r="W191" s="55"/>
      <c r="X191" s="172">
        <v>0</v>
      </c>
      <c r="Y191" s="55"/>
      <c r="Z191" s="170">
        <v>0</v>
      </c>
      <c r="AA191" s="168">
        <v>0</v>
      </c>
      <c r="AB191" s="167">
        <v>6695860</v>
      </c>
    </row>
    <row r="192" spans="1:28" ht="15">
      <c r="A192" s="164">
        <v>401</v>
      </c>
      <c r="B192" s="168">
        <v>158</v>
      </c>
      <c r="C192" s="175">
        <v>4</v>
      </c>
      <c r="D192" s="166">
        <v>33.200000000000003</v>
      </c>
      <c r="E192" s="55"/>
      <c r="F192" s="166">
        <v>2.7</v>
      </c>
      <c r="G192" s="55"/>
      <c r="H192" s="165">
        <v>114</v>
      </c>
      <c r="I192" s="55"/>
      <c r="J192" s="55"/>
      <c r="K192" s="55"/>
      <c r="L192" s="166">
        <v>0</v>
      </c>
      <c r="M192" s="55"/>
      <c r="N192" s="55"/>
      <c r="O192" s="168">
        <v>38</v>
      </c>
      <c r="P192" s="55"/>
      <c r="Q192" s="55"/>
      <c r="R192" s="55"/>
      <c r="S192" s="55"/>
      <c r="T192" s="170">
        <v>0</v>
      </c>
      <c r="U192" s="169">
        <v>0</v>
      </c>
      <c r="V192" s="171">
        <v>0</v>
      </c>
      <c r="W192" s="55"/>
      <c r="X192" s="172">
        <v>0</v>
      </c>
      <c r="Y192" s="55"/>
      <c r="Z192" s="170">
        <v>0</v>
      </c>
      <c r="AA192" s="168">
        <v>0</v>
      </c>
      <c r="AB192" s="167">
        <v>1573580</v>
      </c>
    </row>
    <row r="193" spans="1:28" ht="15">
      <c r="A193" s="164">
        <v>402</v>
      </c>
      <c r="B193" s="168">
        <v>2160.6999999999998</v>
      </c>
      <c r="C193" s="175">
        <v>15</v>
      </c>
      <c r="D193" s="166">
        <v>565.9</v>
      </c>
      <c r="E193" s="55"/>
      <c r="F193" s="166">
        <v>16.8</v>
      </c>
      <c r="G193" s="55"/>
      <c r="H193" s="165">
        <v>785</v>
      </c>
      <c r="I193" s="55"/>
      <c r="J193" s="55"/>
      <c r="K193" s="55"/>
      <c r="L193" s="166">
        <v>369.6</v>
      </c>
      <c r="M193" s="55"/>
      <c r="N193" s="55"/>
      <c r="O193" s="168">
        <v>448.4</v>
      </c>
      <c r="P193" s="55"/>
      <c r="Q193" s="55"/>
      <c r="R193" s="55"/>
      <c r="S193" s="55"/>
      <c r="T193" s="170">
        <v>0</v>
      </c>
      <c r="U193" s="169">
        <v>0</v>
      </c>
      <c r="V193" s="171">
        <v>0</v>
      </c>
      <c r="W193" s="55"/>
      <c r="X193" s="172">
        <v>0</v>
      </c>
      <c r="Y193" s="55"/>
      <c r="Z193" s="170">
        <v>0</v>
      </c>
      <c r="AA193" s="168">
        <v>0</v>
      </c>
      <c r="AB193" s="167">
        <v>12610517</v>
      </c>
    </row>
    <row r="194" spans="1:28" ht="15">
      <c r="A194" s="164">
        <v>403</v>
      </c>
      <c r="B194" s="168">
        <v>210.5</v>
      </c>
      <c r="C194" s="175">
        <v>0</v>
      </c>
      <c r="D194" s="166">
        <v>45.9</v>
      </c>
      <c r="E194" s="55"/>
      <c r="F194" s="166">
        <v>0</v>
      </c>
      <c r="G194" s="55"/>
      <c r="H194" s="165">
        <v>52</v>
      </c>
      <c r="I194" s="55"/>
      <c r="J194" s="55"/>
      <c r="K194" s="55"/>
      <c r="L194" s="166">
        <v>0</v>
      </c>
      <c r="M194" s="55"/>
      <c r="N194" s="55"/>
      <c r="O194" s="168">
        <v>120</v>
      </c>
      <c r="P194" s="55"/>
      <c r="Q194" s="55"/>
      <c r="R194" s="55"/>
      <c r="S194" s="55"/>
      <c r="T194" s="170">
        <v>8</v>
      </c>
      <c r="U194" s="169">
        <v>0</v>
      </c>
      <c r="V194" s="171">
        <v>0</v>
      </c>
      <c r="W194" s="55"/>
      <c r="X194" s="172">
        <v>0</v>
      </c>
      <c r="Y194" s="55"/>
      <c r="Z194" s="170">
        <v>0</v>
      </c>
      <c r="AA194" s="168">
        <v>0</v>
      </c>
      <c r="AB194" s="167">
        <v>2024929</v>
      </c>
    </row>
    <row r="195" spans="1:28" ht="15">
      <c r="A195" s="164">
        <v>404</v>
      </c>
      <c r="B195" s="168">
        <v>727</v>
      </c>
      <c r="C195" s="175">
        <v>9.5</v>
      </c>
      <c r="D195" s="166">
        <v>212.8</v>
      </c>
      <c r="E195" s="55"/>
      <c r="F195" s="166">
        <v>0</v>
      </c>
      <c r="G195" s="55"/>
      <c r="H195" s="165">
        <v>335</v>
      </c>
      <c r="I195" s="55"/>
      <c r="J195" s="55"/>
      <c r="K195" s="55"/>
      <c r="L195" s="166">
        <v>0</v>
      </c>
      <c r="M195" s="55"/>
      <c r="N195" s="55"/>
      <c r="O195" s="168">
        <v>268</v>
      </c>
      <c r="P195" s="55"/>
      <c r="Q195" s="55"/>
      <c r="R195" s="55"/>
      <c r="S195" s="55"/>
      <c r="T195" s="170">
        <v>0</v>
      </c>
      <c r="U195" s="169">
        <v>0</v>
      </c>
      <c r="V195" s="171">
        <v>0</v>
      </c>
      <c r="W195" s="55"/>
      <c r="X195" s="172">
        <v>0</v>
      </c>
      <c r="Y195" s="55"/>
      <c r="Z195" s="170">
        <v>0</v>
      </c>
      <c r="AA195" s="168">
        <v>0</v>
      </c>
      <c r="AB195" s="167">
        <v>5555889</v>
      </c>
    </row>
    <row r="196" spans="1:28" ht="15">
      <c r="A196" s="164">
        <v>405</v>
      </c>
      <c r="B196" s="168">
        <v>728</v>
      </c>
      <c r="C196" s="175">
        <v>17.5</v>
      </c>
      <c r="D196" s="166">
        <v>105.8</v>
      </c>
      <c r="E196" s="55"/>
      <c r="F196" s="166">
        <v>569.4</v>
      </c>
      <c r="G196" s="55"/>
      <c r="H196" s="165">
        <v>484</v>
      </c>
      <c r="I196" s="55"/>
      <c r="J196" s="55"/>
      <c r="K196" s="55"/>
      <c r="L196" s="166">
        <v>0</v>
      </c>
      <c r="M196" s="55"/>
      <c r="N196" s="55"/>
      <c r="O196" s="168">
        <v>39</v>
      </c>
      <c r="P196" s="55"/>
      <c r="Q196" s="55"/>
      <c r="R196" s="55"/>
      <c r="S196" s="55"/>
      <c r="T196" s="170">
        <v>30</v>
      </c>
      <c r="U196" s="169">
        <v>0</v>
      </c>
      <c r="V196" s="171">
        <v>0</v>
      </c>
      <c r="W196" s="55"/>
      <c r="X196" s="172">
        <v>2</v>
      </c>
      <c r="Y196" s="55"/>
      <c r="Z196" s="170">
        <v>0</v>
      </c>
      <c r="AA196" s="168">
        <v>0</v>
      </c>
      <c r="AB196" s="167">
        <v>6526135</v>
      </c>
    </row>
    <row r="197" spans="1:28" ht="15">
      <c r="A197" s="164">
        <v>407</v>
      </c>
      <c r="B197" s="168">
        <v>780</v>
      </c>
      <c r="C197" s="175">
        <v>0</v>
      </c>
      <c r="D197" s="166">
        <v>123.4</v>
      </c>
      <c r="E197" s="55"/>
      <c r="F197" s="166">
        <v>0</v>
      </c>
      <c r="G197" s="55"/>
      <c r="H197" s="165">
        <v>328</v>
      </c>
      <c r="I197" s="55"/>
      <c r="J197" s="55"/>
      <c r="K197" s="55"/>
      <c r="L197" s="166">
        <v>0</v>
      </c>
      <c r="M197" s="55"/>
      <c r="N197" s="55"/>
      <c r="O197" s="168">
        <v>118</v>
      </c>
      <c r="P197" s="55"/>
      <c r="Q197" s="55"/>
      <c r="R197" s="55"/>
      <c r="S197" s="55"/>
      <c r="T197" s="170">
        <v>0</v>
      </c>
      <c r="U197" s="169">
        <v>0</v>
      </c>
      <c r="V197" s="171">
        <v>0</v>
      </c>
      <c r="W197" s="55"/>
      <c r="X197" s="172">
        <v>1</v>
      </c>
      <c r="Y197" s="55"/>
      <c r="Z197" s="170">
        <v>0</v>
      </c>
      <c r="AA197" s="168">
        <v>0</v>
      </c>
      <c r="AB197" s="167">
        <v>5593607</v>
      </c>
    </row>
    <row r="198" spans="1:28" ht="15">
      <c r="A198" s="164">
        <v>408</v>
      </c>
      <c r="B198" s="168">
        <v>501.4</v>
      </c>
      <c r="C198" s="175">
        <v>0</v>
      </c>
      <c r="D198" s="166">
        <v>230.4</v>
      </c>
      <c r="E198" s="55"/>
      <c r="F198" s="166">
        <v>0</v>
      </c>
      <c r="G198" s="55"/>
      <c r="H198" s="165">
        <v>190</v>
      </c>
      <c r="I198" s="55"/>
      <c r="J198" s="55"/>
      <c r="K198" s="55"/>
      <c r="L198" s="166">
        <v>0</v>
      </c>
      <c r="M198" s="55"/>
      <c r="N198" s="55"/>
      <c r="O198" s="168">
        <v>143</v>
      </c>
      <c r="P198" s="55"/>
      <c r="Q198" s="55"/>
      <c r="R198" s="55"/>
      <c r="S198" s="55"/>
      <c r="T198" s="170">
        <v>0</v>
      </c>
      <c r="U198" s="169">
        <v>0</v>
      </c>
      <c r="V198" s="171">
        <v>0</v>
      </c>
      <c r="W198" s="55"/>
      <c r="X198" s="172">
        <v>0</v>
      </c>
      <c r="Y198" s="55"/>
      <c r="Z198" s="170">
        <v>0</v>
      </c>
      <c r="AA198" s="168">
        <v>0</v>
      </c>
      <c r="AB198" s="167">
        <v>4380309</v>
      </c>
    </row>
    <row r="199" spans="1:28" ht="15">
      <c r="A199" s="164">
        <v>409</v>
      </c>
      <c r="B199" s="168">
        <v>1546.9</v>
      </c>
      <c r="C199" s="175">
        <v>18</v>
      </c>
      <c r="D199" s="166">
        <v>182.5</v>
      </c>
      <c r="E199" s="55"/>
      <c r="F199" s="166">
        <v>0</v>
      </c>
      <c r="G199" s="55"/>
      <c r="H199" s="165">
        <v>934</v>
      </c>
      <c r="I199" s="55"/>
      <c r="J199" s="55"/>
      <c r="K199" s="55"/>
      <c r="L199" s="166">
        <v>0</v>
      </c>
      <c r="M199" s="55"/>
      <c r="N199" s="55"/>
      <c r="O199" s="168">
        <v>259</v>
      </c>
      <c r="P199" s="55"/>
      <c r="Q199" s="55"/>
      <c r="R199" s="55"/>
      <c r="S199" s="55"/>
      <c r="T199" s="170">
        <v>0</v>
      </c>
      <c r="U199" s="169">
        <v>0</v>
      </c>
      <c r="V199" s="171">
        <v>0</v>
      </c>
      <c r="W199" s="55"/>
      <c r="X199" s="172">
        <v>0</v>
      </c>
      <c r="Y199" s="55"/>
      <c r="Z199" s="170">
        <v>0</v>
      </c>
      <c r="AA199" s="168">
        <v>0</v>
      </c>
      <c r="AB199" s="167">
        <v>10634330</v>
      </c>
    </row>
    <row r="200" spans="1:28" ht="15">
      <c r="A200" s="164">
        <v>410</v>
      </c>
      <c r="B200" s="168">
        <v>528.1</v>
      </c>
      <c r="C200" s="175">
        <v>3.5</v>
      </c>
      <c r="D200" s="166">
        <v>337.8</v>
      </c>
      <c r="E200" s="55"/>
      <c r="F200" s="166">
        <v>4.9000000000000004</v>
      </c>
      <c r="G200" s="55"/>
      <c r="H200" s="165">
        <v>156</v>
      </c>
      <c r="I200" s="55"/>
      <c r="J200" s="55"/>
      <c r="K200" s="55"/>
      <c r="L200" s="166">
        <v>0</v>
      </c>
      <c r="M200" s="55"/>
      <c r="N200" s="55"/>
      <c r="O200" s="168">
        <v>144</v>
      </c>
      <c r="P200" s="55"/>
      <c r="Q200" s="55"/>
      <c r="R200" s="55"/>
      <c r="S200" s="55"/>
      <c r="T200" s="170">
        <v>7.1</v>
      </c>
      <c r="U200" s="169">
        <v>0</v>
      </c>
      <c r="V200" s="171">
        <v>0</v>
      </c>
      <c r="W200" s="55"/>
      <c r="X200" s="172">
        <v>0</v>
      </c>
      <c r="Y200" s="55"/>
      <c r="Z200" s="170">
        <v>0</v>
      </c>
      <c r="AA200" s="168">
        <v>0</v>
      </c>
      <c r="AB200" s="167">
        <v>4606751</v>
      </c>
    </row>
    <row r="201" spans="1:28" ht="15">
      <c r="A201" s="164">
        <v>411</v>
      </c>
      <c r="B201" s="168">
        <v>273</v>
      </c>
      <c r="C201" s="175">
        <v>0</v>
      </c>
      <c r="D201" s="166">
        <v>113.4</v>
      </c>
      <c r="E201" s="55"/>
      <c r="F201" s="166">
        <v>0</v>
      </c>
      <c r="G201" s="55"/>
      <c r="H201" s="165">
        <v>68</v>
      </c>
      <c r="I201" s="55"/>
      <c r="J201" s="55"/>
      <c r="K201" s="55"/>
      <c r="L201" s="166">
        <v>0</v>
      </c>
      <c r="M201" s="55"/>
      <c r="N201" s="55"/>
      <c r="O201" s="168">
        <v>112</v>
      </c>
      <c r="P201" s="55"/>
      <c r="Q201" s="55"/>
      <c r="R201" s="55"/>
      <c r="S201" s="55"/>
      <c r="T201" s="170">
        <v>0</v>
      </c>
      <c r="U201" s="169">
        <v>0</v>
      </c>
      <c r="V201" s="171">
        <v>0</v>
      </c>
      <c r="W201" s="55"/>
      <c r="X201" s="172">
        <v>0</v>
      </c>
      <c r="Y201" s="55"/>
      <c r="Z201" s="170">
        <v>0</v>
      </c>
      <c r="AA201" s="168">
        <v>0</v>
      </c>
      <c r="AB201" s="167">
        <v>2206082</v>
      </c>
    </row>
    <row r="202" spans="1:28" ht="15">
      <c r="A202" s="164">
        <v>412</v>
      </c>
      <c r="B202" s="168">
        <v>335.5</v>
      </c>
      <c r="C202" s="175">
        <v>0</v>
      </c>
      <c r="D202" s="166">
        <v>52.9</v>
      </c>
      <c r="E202" s="55"/>
      <c r="F202" s="166">
        <v>0</v>
      </c>
      <c r="G202" s="55"/>
      <c r="H202" s="165">
        <v>86</v>
      </c>
      <c r="I202" s="55"/>
      <c r="J202" s="55"/>
      <c r="K202" s="55"/>
      <c r="L202" s="166">
        <v>0</v>
      </c>
      <c r="M202" s="55"/>
      <c r="N202" s="55"/>
      <c r="O202" s="168">
        <v>96</v>
      </c>
      <c r="P202" s="55"/>
      <c r="Q202" s="55"/>
      <c r="R202" s="55"/>
      <c r="S202" s="55"/>
      <c r="T202" s="170">
        <v>0</v>
      </c>
      <c r="U202" s="169">
        <v>0</v>
      </c>
      <c r="V202" s="171">
        <v>0</v>
      </c>
      <c r="W202" s="55"/>
      <c r="X202" s="172">
        <v>0</v>
      </c>
      <c r="Y202" s="55"/>
      <c r="Z202" s="170">
        <v>0</v>
      </c>
      <c r="AA202" s="168">
        <v>0</v>
      </c>
      <c r="AB202" s="167">
        <v>2676237</v>
      </c>
    </row>
    <row r="203" spans="1:28" ht="15">
      <c r="A203" s="164">
        <v>413</v>
      </c>
      <c r="B203" s="168">
        <v>1795.1</v>
      </c>
      <c r="C203" s="175">
        <v>17</v>
      </c>
      <c r="D203" s="166">
        <v>308.60000000000002</v>
      </c>
      <c r="E203" s="55"/>
      <c r="F203" s="166">
        <v>100.5</v>
      </c>
      <c r="G203" s="55"/>
      <c r="H203" s="165">
        <v>1028</v>
      </c>
      <c r="I203" s="55"/>
      <c r="J203" s="55"/>
      <c r="K203" s="55"/>
      <c r="L203" s="166">
        <v>0</v>
      </c>
      <c r="M203" s="55"/>
      <c r="N203" s="55"/>
      <c r="O203" s="168">
        <v>635</v>
      </c>
      <c r="P203" s="55"/>
      <c r="Q203" s="55"/>
      <c r="R203" s="55"/>
      <c r="S203" s="55"/>
      <c r="T203" s="170">
        <v>19</v>
      </c>
      <c r="U203" s="169">
        <v>0</v>
      </c>
      <c r="V203" s="171">
        <v>0</v>
      </c>
      <c r="W203" s="55"/>
      <c r="X203" s="172">
        <v>0</v>
      </c>
      <c r="Y203" s="55"/>
      <c r="Z203" s="170">
        <v>0</v>
      </c>
      <c r="AA203" s="168">
        <v>0</v>
      </c>
      <c r="AB203" s="167">
        <v>12325737</v>
      </c>
    </row>
    <row r="204" spans="1:28" ht="15">
      <c r="A204" s="164">
        <v>415</v>
      </c>
      <c r="B204" s="168">
        <v>812.9</v>
      </c>
      <c r="C204" s="175">
        <v>0</v>
      </c>
      <c r="D204" s="166">
        <v>176.2</v>
      </c>
      <c r="E204" s="55"/>
      <c r="F204" s="166">
        <v>0</v>
      </c>
      <c r="G204" s="55"/>
      <c r="H204" s="165">
        <v>355</v>
      </c>
      <c r="I204" s="55"/>
      <c r="J204" s="55"/>
      <c r="K204" s="55"/>
      <c r="L204" s="166">
        <v>0</v>
      </c>
      <c r="M204" s="55"/>
      <c r="N204" s="55"/>
      <c r="O204" s="168">
        <v>243</v>
      </c>
      <c r="P204" s="55"/>
      <c r="Q204" s="55"/>
      <c r="R204" s="55"/>
      <c r="S204" s="55"/>
      <c r="T204" s="170">
        <v>0</v>
      </c>
      <c r="U204" s="169">
        <v>0</v>
      </c>
      <c r="V204" s="171">
        <v>0</v>
      </c>
      <c r="W204" s="55"/>
      <c r="X204" s="172">
        <v>2</v>
      </c>
      <c r="Y204" s="55"/>
      <c r="Z204" s="170">
        <v>0</v>
      </c>
      <c r="AA204" s="168">
        <v>0</v>
      </c>
      <c r="AB204" s="167">
        <v>6383362</v>
      </c>
    </row>
    <row r="205" spans="1:28" ht="15">
      <c r="A205" s="164">
        <v>416</v>
      </c>
      <c r="B205" s="168">
        <v>1691.6</v>
      </c>
      <c r="C205" s="175">
        <v>0</v>
      </c>
      <c r="D205" s="166">
        <v>253.4</v>
      </c>
      <c r="E205" s="55"/>
      <c r="F205" s="166">
        <v>31.5</v>
      </c>
      <c r="G205" s="55"/>
      <c r="H205" s="165">
        <v>291</v>
      </c>
      <c r="I205" s="55"/>
      <c r="J205" s="55"/>
      <c r="K205" s="55"/>
      <c r="L205" s="166">
        <v>0</v>
      </c>
      <c r="M205" s="55"/>
      <c r="N205" s="55"/>
      <c r="O205" s="168">
        <v>743</v>
      </c>
      <c r="P205" s="55"/>
      <c r="Q205" s="55"/>
      <c r="R205" s="55"/>
      <c r="S205" s="55"/>
      <c r="T205" s="170">
        <v>0</v>
      </c>
      <c r="U205" s="169">
        <v>0</v>
      </c>
      <c r="V205" s="171">
        <v>0</v>
      </c>
      <c r="W205" s="55"/>
      <c r="X205" s="172">
        <v>0</v>
      </c>
      <c r="Y205" s="55"/>
      <c r="Z205" s="170">
        <v>0</v>
      </c>
      <c r="AA205" s="168">
        <v>0</v>
      </c>
      <c r="AB205" s="167">
        <v>9827967</v>
      </c>
    </row>
    <row r="206" spans="1:28" ht="15">
      <c r="A206" s="164">
        <v>417</v>
      </c>
      <c r="B206" s="168">
        <v>701</v>
      </c>
      <c r="C206" s="175">
        <v>7.5</v>
      </c>
      <c r="D206" s="166">
        <v>191.5</v>
      </c>
      <c r="E206" s="55"/>
      <c r="F206" s="166">
        <v>44.1</v>
      </c>
      <c r="G206" s="55"/>
      <c r="H206" s="165">
        <v>265</v>
      </c>
      <c r="I206" s="55"/>
      <c r="J206" s="55"/>
      <c r="K206" s="55"/>
      <c r="L206" s="166">
        <v>0</v>
      </c>
      <c r="M206" s="55"/>
      <c r="N206" s="55"/>
      <c r="O206" s="168">
        <v>288</v>
      </c>
      <c r="P206" s="55"/>
      <c r="Q206" s="55"/>
      <c r="R206" s="55"/>
      <c r="S206" s="55"/>
      <c r="T206" s="170">
        <v>0</v>
      </c>
      <c r="U206" s="169">
        <v>0</v>
      </c>
      <c r="V206" s="171">
        <v>0</v>
      </c>
      <c r="W206" s="55"/>
      <c r="X206" s="172">
        <v>0</v>
      </c>
      <c r="Y206" s="55"/>
      <c r="Z206" s="170">
        <v>0</v>
      </c>
      <c r="AA206" s="168">
        <v>0</v>
      </c>
      <c r="AB206" s="167">
        <v>5280320</v>
      </c>
    </row>
    <row r="207" spans="1:28" ht="15">
      <c r="A207" s="164">
        <v>418</v>
      </c>
      <c r="B207" s="168">
        <v>2228.9</v>
      </c>
      <c r="C207" s="175">
        <v>16.5</v>
      </c>
      <c r="D207" s="166">
        <v>313.39999999999998</v>
      </c>
      <c r="E207" s="55"/>
      <c r="F207" s="166">
        <v>94.9</v>
      </c>
      <c r="G207" s="55"/>
      <c r="H207" s="165">
        <v>728</v>
      </c>
      <c r="I207" s="55"/>
      <c r="J207" s="55"/>
      <c r="K207" s="55"/>
      <c r="L207" s="166">
        <v>0</v>
      </c>
      <c r="M207" s="55"/>
      <c r="N207" s="55"/>
      <c r="O207" s="168">
        <v>150</v>
      </c>
      <c r="P207" s="55"/>
      <c r="Q207" s="55"/>
      <c r="R207" s="55"/>
      <c r="S207" s="55"/>
      <c r="T207" s="170">
        <v>0</v>
      </c>
      <c r="U207" s="169">
        <v>0</v>
      </c>
      <c r="V207" s="171">
        <v>0</v>
      </c>
      <c r="W207" s="55"/>
      <c r="X207" s="172">
        <v>0</v>
      </c>
      <c r="Y207" s="55"/>
      <c r="Z207" s="170">
        <v>0</v>
      </c>
      <c r="AA207" s="168">
        <v>0</v>
      </c>
      <c r="AB207" s="167">
        <v>14568248</v>
      </c>
    </row>
    <row r="208" spans="1:28" ht="15">
      <c r="A208" s="164">
        <v>419</v>
      </c>
      <c r="B208" s="168">
        <v>375</v>
      </c>
      <c r="C208" s="175">
        <v>5.5</v>
      </c>
      <c r="D208" s="166">
        <v>84.3</v>
      </c>
      <c r="E208" s="55"/>
      <c r="F208" s="166">
        <v>0</v>
      </c>
      <c r="G208" s="55"/>
      <c r="H208" s="165">
        <v>127</v>
      </c>
      <c r="I208" s="55"/>
      <c r="J208" s="55"/>
      <c r="K208" s="55"/>
      <c r="L208" s="166">
        <v>0</v>
      </c>
      <c r="M208" s="55"/>
      <c r="N208" s="55"/>
      <c r="O208" s="168">
        <v>206</v>
      </c>
      <c r="P208" s="55"/>
      <c r="Q208" s="55"/>
      <c r="R208" s="55"/>
      <c r="S208" s="55"/>
      <c r="T208" s="170">
        <v>0</v>
      </c>
      <c r="U208" s="169">
        <v>0</v>
      </c>
      <c r="V208" s="171">
        <v>0</v>
      </c>
      <c r="W208" s="55"/>
      <c r="X208" s="172">
        <v>0</v>
      </c>
      <c r="Y208" s="55"/>
      <c r="Z208" s="170">
        <v>0</v>
      </c>
      <c r="AA208" s="168">
        <v>0</v>
      </c>
      <c r="AB208" s="167">
        <v>3183237</v>
      </c>
    </row>
    <row r="209" spans="1:28" ht="15">
      <c r="A209" s="164">
        <v>420</v>
      </c>
      <c r="B209" s="168">
        <v>619.70000000000005</v>
      </c>
      <c r="C209" s="175">
        <v>0</v>
      </c>
      <c r="D209" s="166">
        <v>164</v>
      </c>
      <c r="E209" s="55"/>
      <c r="F209" s="166">
        <v>0</v>
      </c>
      <c r="G209" s="55"/>
      <c r="H209" s="165">
        <v>251</v>
      </c>
      <c r="I209" s="55"/>
      <c r="J209" s="55"/>
      <c r="K209" s="55"/>
      <c r="L209" s="166">
        <v>0</v>
      </c>
      <c r="M209" s="55"/>
      <c r="N209" s="55"/>
      <c r="O209" s="168">
        <v>84</v>
      </c>
      <c r="P209" s="55"/>
      <c r="Q209" s="55"/>
      <c r="R209" s="55"/>
      <c r="S209" s="55"/>
      <c r="T209" s="170">
        <v>0</v>
      </c>
      <c r="U209" s="169">
        <v>0</v>
      </c>
      <c r="V209" s="171">
        <v>0</v>
      </c>
      <c r="W209" s="55"/>
      <c r="X209" s="172">
        <v>0</v>
      </c>
      <c r="Y209" s="55"/>
      <c r="Z209" s="170">
        <v>0</v>
      </c>
      <c r="AA209" s="168">
        <v>0</v>
      </c>
      <c r="AB209" s="167">
        <v>4773321</v>
      </c>
    </row>
    <row r="210" spans="1:28" ht="15">
      <c r="A210" s="164">
        <v>421</v>
      </c>
      <c r="B210" s="168">
        <v>428.5</v>
      </c>
      <c r="C210" s="175">
        <v>0</v>
      </c>
      <c r="D210" s="166">
        <v>114.3</v>
      </c>
      <c r="E210" s="55"/>
      <c r="F210" s="166">
        <v>0</v>
      </c>
      <c r="G210" s="55"/>
      <c r="H210" s="165">
        <v>110</v>
      </c>
      <c r="I210" s="55"/>
      <c r="J210" s="55"/>
      <c r="K210" s="55"/>
      <c r="L210" s="166">
        <v>0</v>
      </c>
      <c r="M210" s="55"/>
      <c r="N210" s="55"/>
      <c r="O210" s="168">
        <v>196</v>
      </c>
      <c r="P210" s="55"/>
      <c r="Q210" s="55"/>
      <c r="R210" s="55"/>
      <c r="S210" s="55"/>
      <c r="T210" s="170">
        <v>0</v>
      </c>
      <c r="U210" s="169">
        <v>0</v>
      </c>
      <c r="V210" s="171">
        <v>0</v>
      </c>
      <c r="W210" s="55"/>
      <c r="X210" s="172">
        <v>1</v>
      </c>
      <c r="Y210" s="55"/>
      <c r="Z210" s="170">
        <v>0</v>
      </c>
      <c r="AA210" s="168">
        <v>0</v>
      </c>
      <c r="AB210" s="167">
        <v>3170956</v>
      </c>
    </row>
    <row r="211" spans="1:28" ht="15">
      <c r="A211" s="164">
        <v>422</v>
      </c>
      <c r="B211" s="168">
        <v>233</v>
      </c>
      <c r="C211" s="175">
        <v>0</v>
      </c>
      <c r="D211" s="166">
        <v>69.3</v>
      </c>
      <c r="E211" s="55"/>
      <c r="F211" s="166">
        <v>0</v>
      </c>
      <c r="G211" s="55"/>
      <c r="H211" s="165">
        <v>78</v>
      </c>
      <c r="I211" s="55"/>
      <c r="J211" s="55"/>
      <c r="K211" s="55"/>
      <c r="L211" s="166">
        <v>41.9</v>
      </c>
      <c r="M211" s="55"/>
      <c r="N211" s="55"/>
      <c r="O211" s="168">
        <v>87</v>
      </c>
      <c r="P211" s="55"/>
      <c r="Q211" s="55"/>
      <c r="R211" s="55"/>
      <c r="S211" s="55"/>
      <c r="T211" s="170">
        <v>177.4</v>
      </c>
      <c r="U211" s="169">
        <v>0</v>
      </c>
      <c r="V211" s="171">
        <v>0</v>
      </c>
      <c r="W211" s="55"/>
      <c r="X211" s="172">
        <v>0</v>
      </c>
      <c r="Y211" s="55"/>
      <c r="Z211" s="170">
        <v>0</v>
      </c>
      <c r="AA211" s="168">
        <v>0</v>
      </c>
      <c r="AB211" s="167">
        <v>3713074</v>
      </c>
    </row>
    <row r="212" spans="1:28" ht="15">
      <c r="A212" s="164">
        <v>423</v>
      </c>
      <c r="B212" s="168">
        <v>395</v>
      </c>
      <c r="C212" s="175">
        <v>5</v>
      </c>
      <c r="D212" s="166">
        <v>55</v>
      </c>
      <c r="E212" s="55"/>
      <c r="F212" s="166">
        <v>3.1</v>
      </c>
      <c r="G212" s="55"/>
      <c r="H212" s="165">
        <v>104</v>
      </c>
      <c r="I212" s="55"/>
      <c r="J212" s="55"/>
      <c r="K212" s="55"/>
      <c r="L212" s="166">
        <v>0</v>
      </c>
      <c r="M212" s="55"/>
      <c r="N212" s="55"/>
      <c r="O212" s="168">
        <v>96</v>
      </c>
      <c r="P212" s="55"/>
      <c r="Q212" s="55"/>
      <c r="R212" s="55"/>
      <c r="S212" s="55"/>
      <c r="T212" s="170">
        <v>0</v>
      </c>
      <c r="U212" s="169">
        <v>0</v>
      </c>
      <c r="V212" s="171">
        <v>0</v>
      </c>
      <c r="W212" s="55"/>
      <c r="X212" s="172">
        <v>0</v>
      </c>
      <c r="Y212" s="55"/>
      <c r="Z212" s="170">
        <v>0</v>
      </c>
      <c r="AA212" s="168">
        <v>0</v>
      </c>
      <c r="AB212" s="167">
        <v>3230445</v>
      </c>
    </row>
    <row r="213" spans="1:28" ht="15">
      <c r="A213" s="164">
        <v>426</v>
      </c>
      <c r="B213" s="168">
        <v>210.5</v>
      </c>
      <c r="C213" s="175">
        <v>0</v>
      </c>
      <c r="D213" s="166">
        <v>71.8</v>
      </c>
      <c r="E213" s="55"/>
      <c r="F213" s="166">
        <v>0</v>
      </c>
      <c r="G213" s="55"/>
      <c r="H213" s="165">
        <v>88</v>
      </c>
      <c r="I213" s="55"/>
      <c r="J213" s="55"/>
      <c r="K213" s="55"/>
      <c r="L213" s="166">
        <v>0</v>
      </c>
      <c r="M213" s="55"/>
      <c r="N213" s="55"/>
      <c r="O213" s="168">
        <v>89</v>
      </c>
      <c r="P213" s="55"/>
      <c r="Q213" s="55"/>
      <c r="R213" s="55"/>
      <c r="S213" s="55"/>
      <c r="T213" s="170">
        <v>0</v>
      </c>
      <c r="U213" s="169">
        <v>0</v>
      </c>
      <c r="V213" s="171">
        <v>0</v>
      </c>
      <c r="W213" s="55"/>
      <c r="X213" s="172">
        <v>0</v>
      </c>
      <c r="Y213" s="55"/>
      <c r="Z213" s="170">
        <v>0</v>
      </c>
      <c r="AA213" s="168">
        <v>0</v>
      </c>
      <c r="AB213" s="167">
        <v>1973883</v>
      </c>
    </row>
    <row r="214" spans="1:28" ht="15">
      <c r="A214" s="164">
        <v>428</v>
      </c>
      <c r="B214" s="168">
        <v>2991.2</v>
      </c>
      <c r="C214" s="175">
        <v>15.5</v>
      </c>
      <c r="D214" s="166">
        <v>596.9</v>
      </c>
      <c r="E214" s="55"/>
      <c r="F214" s="166">
        <v>2687.7</v>
      </c>
      <c r="G214" s="55"/>
      <c r="H214" s="165">
        <v>1819</v>
      </c>
      <c r="I214" s="55"/>
      <c r="J214" s="55"/>
      <c r="K214" s="55"/>
      <c r="L214" s="166">
        <v>0</v>
      </c>
      <c r="M214" s="55"/>
      <c r="N214" s="55"/>
      <c r="O214" s="168">
        <v>198</v>
      </c>
      <c r="P214" s="55"/>
      <c r="Q214" s="55"/>
      <c r="R214" s="55"/>
      <c r="S214" s="55"/>
      <c r="T214" s="170">
        <v>0</v>
      </c>
      <c r="U214" s="169">
        <v>0</v>
      </c>
      <c r="V214" s="171">
        <v>0</v>
      </c>
      <c r="W214" s="55"/>
      <c r="X214" s="172">
        <v>0</v>
      </c>
      <c r="Y214" s="55"/>
      <c r="Z214" s="170">
        <v>0</v>
      </c>
      <c r="AA214" s="168">
        <v>0</v>
      </c>
      <c r="AB214" s="167">
        <v>19479001</v>
      </c>
    </row>
    <row r="215" spans="1:28" ht="15">
      <c r="A215" s="164">
        <v>429</v>
      </c>
      <c r="B215" s="168">
        <v>325.5</v>
      </c>
      <c r="C215" s="175">
        <v>0</v>
      </c>
      <c r="D215" s="166">
        <v>31.4</v>
      </c>
      <c r="E215" s="55"/>
      <c r="F215" s="166">
        <v>0</v>
      </c>
      <c r="G215" s="55"/>
      <c r="H215" s="165">
        <v>97</v>
      </c>
      <c r="I215" s="55"/>
      <c r="J215" s="55"/>
      <c r="K215" s="55"/>
      <c r="L215" s="166">
        <v>0</v>
      </c>
      <c r="M215" s="55"/>
      <c r="N215" s="55"/>
      <c r="O215" s="168">
        <v>95</v>
      </c>
      <c r="P215" s="55"/>
      <c r="Q215" s="55"/>
      <c r="R215" s="55"/>
      <c r="S215" s="55"/>
      <c r="T215" s="170">
        <v>0</v>
      </c>
      <c r="U215" s="169">
        <v>0</v>
      </c>
      <c r="V215" s="171">
        <v>0</v>
      </c>
      <c r="W215" s="55"/>
      <c r="X215" s="172">
        <v>0</v>
      </c>
      <c r="Y215" s="55"/>
      <c r="Z215" s="170">
        <v>0</v>
      </c>
      <c r="AA215" s="168">
        <v>0</v>
      </c>
      <c r="AB215" s="167">
        <v>2667794</v>
      </c>
    </row>
    <row r="216" spans="1:28" ht="15">
      <c r="A216" s="164">
        <v>430</v>
      </c>
      <c r="B216" s="168">
        <v>563.20000000000005</v>
      </c>
      <c r="C216" s="175">
        <v>0</v>
      </c>
      <c r="D216" s="166">
        <v>159</v>
      </c>
      <c r="E216" s="55"/>
      <c r="F216" s="166">
        <v>102.8</v>
      </c>
      <c r="G216" s="55"/>
      <c r="H216" s="165">
        <v>328</v>
      </c>
      <c r="I216" s="55"/>
      <c r="J216" s="55"/>
      <c r="K216" s="55"/>
      <c r="L216" s="166">
        <v>0</v>
      </c>
      <c r="M216" s="55"/>
      <c r="N216" s="55"/>
      <c r="O216" s="168">
        <v>317.5</v>
      </c>
      <c r="P216" s="55"/>
      <c r="Q216" s="55"/>
      <c r="R216" s="55"/>
      <c r="S216" s="55"/>
      <c r="T216" s="170">
        <v>0</v>
      </c>
      <c r="U216" s="169">
        <v>0</v>
      </c>
      <c r="V216" s="171">
        <v>0</v>
      </c>
      <c r="W216" s="55"/>
      <c r="X216" s="172">
        <v>0</v>
      </c>
      <c r="Y216" s="55"/>
      <c r="Z216" s="170">
        <v>0</v>
      </c>
      <c r="AA216" s="168">
        <v>0</v>
      </c>
      <c r="AB216" s="167">
        <v>4869271</v>
      </c>
    </row>
    <row r="217" spans="1:28" ht="15">
      <c r="A217" s="164">
        <v>431</v>
      </c>
      <c r="B217" s="168">
        <v>668.5</v>
      </c>
      <c r="C217" s="175">
        <v>16</v>
      </c>
      <c r="D217" s="166">
        <v>176.1</v>
      </c>
      <c r="E217" s="55"/>
      <c r="F217" s="166">
        <v>0</v>
      </c>
      <c r="G217" s="55"/>
      <c r="H217" s="165">
        <v>291</v>
      </c>
      <c r="I217" s="55"/>
      <c r="J217" s="55"/>
      <c r="K217" s="55"/>
      <c r="L217" s="166">
        <v>0</v>
      </c>
      <c r="M217" s="55"/>
      <c r="N217" s="55"/>
      <c r="O217" s="168">
        <v>86</v>
      </c>
      <c r="P217" s="55"/>
      <c r="Q217" s="55"/>
      <c r="R217" s="55"/>
      <c r="S217" s="55"/>
      <c r="T217" s="170">
        <v>0</v>
      </c>
      <c r="U217" s="169">
        <v>0</v>
      </c>
      <c r="V217" s="171">
        <v>0</v>
      </c>
      <c r="W217" s="55"/>
      <c r="X217" s="172">
        <v>0</v>
      </c>
      <c r="Y217" s="55"/>
      <c r="Z217" s="170">
        <v>0</v>
      </c>
      <c r="AA217" s="168">
        <v>0</v>
      </c>
      <c r="AB217" s="167">
        <v>4968291</v>
      </c>
    </row>
    <row r="218" spans="1:28" ht="15">
      <c r="A218" s="164">
        <v>432</v>
      </c>
      <c r="B218" s="168">
        <v>267</v>
      </c>
      <c r="C218" s="175">
        <v>0</v>
      </c>
      <c r="D218" s="166">
        <v>102.5</v>
      </c>
      <c r="E218" s="55"/>
      <c r="F218" s="166">
        <v>0</v>
      </c>
      <c r="G218" s="55"/>
      <c r="H218" s="165">
        <v>51</v>
      </c>
      <c r="I218" s="55"/>
      <c r="J218" s="55"/>
      <c r="K218" s="55"/>
      <c r="L218" s="166">
        <v>0</v>
      </c>
      <c r="M218" s="55"/>
      <c r="N218" s="55"/>
      <c r="O218" s="168">
        <v>74</v>
      </c>
      <c r="P218" s="55"/>
      <c r="Q218" s="55"/>
      <c r="R218" s="55"/>
      <c r="S218" s="55"/>
      <c r="T218" s="170">
        <v>0</v>
      </c>
      <c r="U218" s="169">
        <v>0</v>
      </c>
      <c r="V218" s="171">
        <v>0</v>
      </c>
      <c r="W218" s="55"/>
      <c r="X218" s="172">
        <v>0</v>
      </c>
      <c r="Y218" s="55"/>
      <c r="Z218" s="170">
        <v>0</v>
      </c>
      <c r="AA218" s="168">
        <v>0</v>
      </c>
      <c r="AB218" s="167">
        <v>2027999</v>
      </c>
    </row>
    <row r="219" spans="1:28" ht="15">
      <c r="A219" s="164">
        <v>434</v>
      </c>
      <c r="B219" s="168">
        <v>972</v>
      </c>
      <c r="C219" s="175">
        <v>11.5</v>
      </c>
      <c r="D219" s="166">
        <v>0</v>
      </c>
      <c r="E219" s="55"/>
      <c r="F219" s="166">
        <v>0</v>
      </c>
      <c r="G219" s="55"/>
      <c r="H219" s="165">
        <v>388</v>
      </c>
      <c r="I219" s="55"/>
      <c r="J219" s="55"/>
      <c r="K219" s="55"/>
      <c r="L219" s="166">
        <v>0</v>
      </c>
      <c r="M219" s="55"/>
      <c r="N219" s="55"/>
      <c r="O219" s="168">
        <v>785</v>
      </c>
      <c r="P219" s="55"/>
      <c r="Q219" s="55"/>
      <c r="R219" s="55"/>
      <c r="S219" s="55"/>
      <c r="T219" s="170">
        <v>5</v>
      </c>
      <c r="U219" s="169">
        <v>0</v>
      </c>
      <c r="V219" s="171">
        <v>0</v>
      </c>
      <c r="W219" s="55"/>
      <c r="X219" s="172">
        <v>0</v>
      </c>
      <c r="Y219" s="55"/>
      <c r="Z219" s="170">
        <v>0</v>
      </c>
      <c r="AA219" s="168">
        <v>0</v>
      </c>
      <c r="AB219" s="167">
        <v>7991867</v>
      </c>
    </row>
    <row r="220" spans="1:28" ht="15">
      <c r="A220" s="164">
        <v>435</v>
      </c>
      <c r="B220" s="168">
        <v>1532.7</v>
      </c>
      <c r="C220" s="175">
        <v>0</v>
      </c>
      <c r="D220" s="166">
        <v>653.29999999999995</v>
      </c>
      <c r="E220" s="55"/>
      <c r="F220" s="166">
        <v>72</v>
      </c>
      <c r="G220" s="55"/>
      <c r="H220" s="165">
        <v>542</v>
      </c>
      <c r="I220" s="55"/>
      <c r="J220" s="55"/>
      <c r="K220" s="55"/>
      <c r="L220" s="166">
        <v>0</v>
      </c>
      <c r="M220" s="55"/>
      <c r="N220" s="55"/>
      <c r="O220" s="168">
        <v>261.7</v>
      </c>
      <c r="P220" s="55"/>
      <c r="Q220" s="55"/>
      <c r="R220" s="55"/>
      <c r="S220" s="55"/>
      <c r="T220" s="170">
        <v>8</v>
      </c>
      <c r="U220" s="169">
        <v>0</v>
      </c>
      <c r="V220" s="171">
        <v>0</v>
      </c>
      <c r="W220" s="55"/>
      <c r="X220" s="172">
        <v>0</v>
      </c>
      <c r="Y220" s="55"/>
      <c r="Z220" s="170">
        <v>0</v>
      </c>
      <c r="AA220" s="168">
        <v>0</v>
      </c>
      <c r="AB220" s="167">
        <v>9428895</v>
      </c>
    </row>
    <row r="221" spans="1:28" ht="15">
      <c r="A221" s="164">
        <v>436</v>
      </c>
      <c r="B221" s="168">
        <v>766.5</v>
      </c>
      <c r="C221" s="175">
        <v>9.5</v>
      </c>
      <c r="D221" s="166">
        <v>159.5</v>
      </c>
      <c r="E221" s="55"/>
      <c r="F221" s="166">
        <v>6.2</v>
      </c>
      <c r="G221" s="55"/>
      <c r="H221" s="165">
        <v>324</v>
      </c>
      <c r="I221" s="55"/>
      <c r="J221" s="55"/>
      <c r="K221" s="55"/>
      <c r="L221" s="166">
        <v>0</v>
      </c>
      <c r="M221" s="55"/>
      <c r="N221" s="55"/>
      <c r="O221" s="168">
        <v>331</v>
      </c>
      <c r="P221" s="55"/>
      <c r="Q221" s="55"/>
      <c r="R221" s="55"/>
      <c r="S221" s="55"/>
      <c r="T221" s="170">
        <v>18.899999999999999</v>
      </c>
      <c r="U221" s="169">
        <v>0</v>
      </c>
      <c r="V221" s="171">
        <v>0</v>
      </c>
      <c r="W221" s="55"/>
      <c r="X221" s="172">
        <v>0</v>
      </c>
      <c r="Y221" s="55"/>
      <c r="Z221" s="170">
        <v>0</v>
      </c>
      <c r="AA221" s="168">
        <v>0</v>
      </c>
      <c r="AB221" s="167">
        <v>5923116</v>
      </c>
    </row>
    <row r="222" spans="1:28" ht="15">
      <c r="A222" s="164">
        <v>437</v>
      </c>
      <c r="B222" s="168">
        <v>5751.6</v>
      </c>
      <c r="C222" s="175">
        <v>31.5</v>
      </c>
      <c r="D222" s="166">
        <v>526.20000000000005</v>
      </c>
      <c r="E222" s="55"/>
      <c r="F222" s="166">
        <v>118.1</v>
      </c>
      <c r="G222" s="55"/>
      <c r="H222" s="165">
        <v>1532</v>
      </c>
      <c r="I222" s="55"/>
      <c r="J222" s="55"/>
      <c r="K222" s="55"/>
      <c r="L222" s="166">
        <v>0</v>
      </c>
      <c r="M222" s="55"/>
      <c r="N222" s="55"/>
      <c r="O222" s="168">
        <v>3221</v>
      </c>
      <c r="P222" s="55"/>
      <c r="Q222" s="55"/>
      <c r="R222" s="55"/>
      <c r="S222" s="55"/>
      <c r="T222" s="170">
        <v>0.7</v>
      </c>
      <c r="U222" s="169">
        <v>0</v>
      </c>
      <c r="V222" s="171">
        <v>0</v>
      </c>
      <c r="W222" s="55"/>
      <c r="X222" s="172">
        <v>4</v>
      </c>
      <c r="Y222" s="55"/>
      <c r="Z222" s="170">
        <v>0</v>
      </c>
      <c r="AA222" s="168">
        <v>0</v>
      </c>
      <c r="AB222" s="167">
        <v>34780128</v>
      </c>
    </row>
    <row r="223" spans="1:28" ht="15">
      <c r="A223" s="164">
        <v>438</v>
      </c>
      <c r="B223" s="168">
        <v>400</v>
      </c>
      <c r="C223" s="175">
        <v>0</v>
      </c>
      <c r="D223" s="166">
        <v>69.2</v>
      </c>
      <c r="E223" s="55"/>
      <c r="F223" s="166">
        <v>13.1</v>
      </c>
      <c r="G223" s="55"/>
      <c r="H223" s="165">
        <v>68</v>
      </c>
      <c r="I223" s="55"/>
      <c r="J223" s="55"/>
      <c r="K223" s="55"/>
      <c r="L223" s="166">
        <v>0</v>
      </c>
      <c r="M223" s="55"/>
      <c r="N223" s="55"/>
      <c r="O223" s="168">
        <v>135</v>
      </c>
      <c r="P223" s="55"/>
      <c r="Q223" s="55"/>
      <c r="R223" s="55"/>
      <c r="S223" s="55"/>
      <c r="T223" s="170">
        <v>11.9</v>
      </c>
      <c r="U223" s="169">
        <v>0</v>
      </c>
      <c r="V223" s="171">
        <v>0</v>
      </c>
      <c r="W223" s="55"/>
      <c r="X223" s="172">
        <v>0</v>
      </c>
      <c r="Y223" s="55"/>
      <c r="Z223" s="170">
        <v>0</v>
      </c>
      <c r="AA223" s="168">
        <v>0</v>
      </c>
      <c r="AB223" s="167">
        <v>3455351</v>
      </c>
    </row>
    <row r="224" spans="1:28" ht="15">
      <c r="A224" s="164">
        <v>439</v>
      </c>
      <c r="B224" s="168">
        <v>500.5</v>
      </c>
      <c r="C224" s="175">
        <v>0</v>
      </c>
      <c r="D224" s="166">
        <v>169.6</v>
      </c>
      <c r="E224" s="55"/>
      <c r="F224" s="166">
        <v>0</v>
      </c>
      <c r="G224" s="55"/>
      <c r="H224" s="165">
        <v>147</v>
      </c>
      <c r="I224" s="55"/>
      <c r="J224" s="55"/>
      <c r="K224" s="55"/>
      <c r="L224" s="166">
        <v>0</v>
      </c>
      <c r="M224" s="55"/>
      <c r="N224" s="55"/>
      <c r="O224" s="168">
        <v>61</v>
      </c>
      <c r="P224" s="55"/>
      <c r="Q224" s="55"/>
      <c r="R224" s="55"/>
      <c r="S224" s="55"/>
      <c r="T224" s="170">
        <v>0</v>
      </c>
      <c r="U224" s="169">
        <v>0</v>
      </c>
      <c r="V224" s="171">
        <v>0</v>
      </c>
      <c r="W224" s="55"/>
      <c r="X224" s="172">
        <v>0</v>
      </c>
      <c r="Y224" s="55"/>
      <c r="Z224" s="170">
        <v>0</v>
      </c>
      <c r="AA224" s="168">
        <v>0</v>
      </c>
      <c r="AB224" s="167">
        <v>3711942</v>
      </c>
    </row>
    <row r="225" spans="1:28" ht="15">
      <c r="A225" s="164">
        <v>440</v>
      </c>
      <c r="B225" s="168">
        <v>753.5</v>
      </c>
      <c r="C225" s="175">
        <v>10</v>
      </c>
      <c r="D225" s="166">
        <v>323.8</v>
      </c>
      <c r="E225" s="55"/>
      <c r="F225" s="166">
        <v>7.3</v>
      </c>
      <c r="G225" s="55"/>
      <c r="H225" s="165">
        <v>305</v>
      </c>
      <c r="I225" s="55"/>
      <c r="J225" s="55"/>
      <c r="K225" s="55"/>
      <c r="L225" s="166">
        <v>0</v>
      </c>
      <c r="M225" s="55"/>
      <c r="N225" s="55"/>
      <c r="O225" s="168">
        <v>375</v>
      </c>
      <c r="P225" s="55"/>
      <c r="Q225" s="55"/>
      <c r="R225" s="55"/>
      <c r="S225" s="55"/>
      <c r="T225" s="170">
        <v>0</v>
      </c>
      <c r="U225" s="169">
        <v>0</v>
      </c>
      <c r="V225" s="171">
        <v>0</v>
      </c>
      <c r="W225" s="55"/>
      <c r="X225" s="172">
        <v>0</v>
      </c>
      <c r="Y225" s="55"/>
      <c r="Z225" s="170">
        <v>0</v>
      </c>
      <c r="AA225" s="168">
        <v>0</v>
      </c>
      <c r="AB225" s="167">
        <v>5595420</v>
      </c>
    </row>
    <row r="226" spans="1:28" ht="15">
      <c r="A226" s="164">
        <v>443</v>
      </c>
      <c r="B226" s="168">
        <v>6199.9</v>
      </c>
      <c r="C226" s="175">
        <v>79</v>
      </c>
      <c r="D226" s="166">
        <v>1499.2</v>
      </c>
      <c r="E226" s="55"/>
      <c r="F226" s="166">
        <v>13861.2</v>
      </c>
      <c r="G226" s="55"/>
      <c r="H226" s="165">
        <v>4679</v>
      </c>
      <c r="I226" s="55"/>
      <c r="J226" s="55"/>
      <c r="K226" s="55"/>
      <c r="L226" s="166">
        <v>28</v>
      </c>
      <c r="M226" s="55"/>
      <c r="N226" s="55"/>
      <c r="O226" s="168">
        <v>2556</v>
      </c>
      <c r="P226" s="55"/>
      <c r="Q226" s="55"/>
      <c r="R226" s="55"/>
      <c r="S226" s="55"/>
      <c r="T226" s="170">
        <v>0</v>
      </c>
      <c r="U226" s="169">
        <v>0</v>
      </c>
      <c r="V226" s="171">
        <v>0</v>
      </c>
      <c r="W226" s="55"/>
      <c r="X226" s="172">
        <v>0</v>
      </c>
      <c r="Y226" s="55"/>
      <c r="Z226" s="170">
        <v>0</v>
      </c>
      <c r="AA226" s="168">
        <v>0</v>
      </c>
      <c r="AB226" s="167">
        <v>45903531</v>
      </c>
    </row>
    <row r="227" spans="1:28" ht="15">
      <c r="A227" s="164">
        <v>444</v>
      </c>
      <c r="B227" s="168">
        <v>326.89999999999998</v>
      </c>
      <c r="C227" s="175">
        <v>2.5</v>
      </c>
      <c r="D227" s="166">
        <v>31.6</v>
      </c>
      <c r="E227" s="55"/>
      <c r="F227" s="166">
        <v>1</v>
      </c>
      <c r="G227" s="55"/>
      <c r="H227" s="165">
        <v>101</v>
      </c>
      <c r="I227" s="55"/>
      <c r="J227" s="55"/>
      <c r="K227" s="55"/>
      <c r="L227" s="166">
        <v>0</v>
      </c>
      <c r="M227" s="55"/>
      <c r="N227" s="55"/>
      <c r="O227" s="168">
        <v>188.5</v>
      </c>
      <c r="P227" s="55"/>
      <c r="Q227" s="55"/>
      <c r="R227" s="55"/>
      <c r="S227" s="55"/>
      <c r="T227" s="170">
        <v>6</v>
      </c>
      <c r="U227" s="169">
        <v>0</v>
      </c>
      <c r="V227" s="171">
        <v>0</v>
      </c>
      <c r="W227" s="55"/>
      <c r="X227" s="172">
        <v>0</v>
      </c>
      <c r="Y227" s="55"/>
      <c r="Z227" s="170">
        <v>0</v>
      </c>
      <c r="AA227" s="168">
        <v>0</v>
      </c>
      <c r="AB227" s="167">
        <v>2877349</v>
      </c>
    </row>
    <row r="228" spans="1:28" ht="15">
      <c r="A228" s="164">
        <v>445</v>
      </c>
      <c r="B228" s="168">
        <v>1702.6</v>
      </c>
      <c r="C228" s="175">
        <v>28</v>
      </c>
      <c r="D228" s="166">
        <v>523.6</v>
      </c>
      <c r="E228" s="55"/>
      <c r="F228" s="166">
        <v>153</v>
      </c>
      <c r="G228" s="55"/>
      <c r="H228" s="165">
        <v>1204</v>
      </c>
      <c r="I228" s="55"/>
      <c r="J228" s="55"/>
      <c r="K228" s="55"/>
      <c r="L228" s="166">
        <v>0</v>
      </c>
      <c r="M228" s="55"/>
      <c r="N228" s="55"/>
      <c r="O228" s="168">
        <v>451</v>
      </c>
      <c r="P228" s="55"/>
      <c r="Q228" s="55"/>
      <c r="R228" s="55"/>
      <c r="S228" s="55"/>
      <c r="T228" s="170">
        <v>3</v>
      </c>
      <c r="U228" s="169">
        <v>0</v>
      </c>
      <c r="V228" s="171">
        <v>0</v>
      </c>
      <c r="W228" s="55"/>
      <c r="X228" s="172">
        <v>0</v>
      </c>
      <c r="Y228" s="55"/>
      <c r="Z228" s="170">
        <v>0</v>
      </c>
      <c r="AA228" s="168">
        <v>0</v>
      </c>
      <c r="AB228" s="167">
        <v>11913152</v>
      </c>
    </row>
    <row r="229" spans="1:28" ht="15">
      <c r="A229" s="164">
        <v>446</v>
      </c>
      <c r="B229" s="168">
        <v>1940.8</v>
      </c>
      <c r="C229" s="175">
        <v>15</v>
      </c>
      <c r="D229" s="166">
        <v>261.5</v>
      </c>
      <c r="E229" s="55"/>
      <c r="F229" s="166">
        <v>49.8</v>
      </c>
      <c r="G229" s="55"/>
      <c r="H229" s="165">
        <v>1067</v>
      </c>
      <c r="I229" s="55"/>
      <c r="J229" s="55"/>
      <c r="K229" s="55"/>
      <c r="L229" s="166">
        <v>0</v>
      </c>
      <c r="M229" s="55"/>
      <c r="N229" s="55"/>
      <c r="O229" s="168">
        <v>444.1</v>
      </c>
      <c r="P229" s="55"/>
      <c r="Q229" s="55"/>
      <c r="R229" s="55"/>
      <c r="S229" s="55"/>
      <c r="T229" s="170">
        <v>0</v>
      </c>
      <c r="U229" s="169">
        <v>0</v>
      </c>
      <c r="V229" s="171">
        <v>0</v>
      </c>
      <c r="W229" s="55"/>
      <c r="X229" s="172">
        <v>0</v>
      </c>
      <c r="Y229" s="55"/>
      <c r="Z229" s="170">
        <v>0</v>
      </c>
      <c r="AA229" s="168">
        <v>0</v>
      </c>
      <c r="AB229" s="167">
        <v>12185650</v>
      </c>
    </row>
    <row r="230" spans="1:28" ht="15">
      <c r="A230" s="164">
        <v>447</v>
      </c>
      <c r="B230" s="168">
        <v>800.5</v>
      </c>
      <c r="C230" s="175">
        <v>10</v>
      </c>
      <c r="D230" s="166">
        <v>128.19999999999999</v>
      </c>
      <c r="E230" s="55"/>
      <c r="F230" s="166">
        <v>0</v>
      </c>
      <c r="G230" s="55"/>
      <c r="H230" s="165">
        <v>436</v>
      </c>
      <c r="I230" s="55"/>
      <c r="J230" s="55"/>
      <c r="K230" s="55"/>
      <c r="L230" s="166">
        <v>0</v>
      </c>
      <c r="M230" s="55"/>
      <c r="N230" s="55"/>
      <c r="O230" s="168">
        <v>139.5</v>
      </c>
      <c r="P230" s="55"/>
      <c r="Q230" s="55"/>
      <c r="R230" s="55"/>
      <c r="S230" s="55"/>
      <c r="T230" s="170">
        <v>93</v>
      </c>
      <c r="U230" s="169">
        <v>0</v>
      </c>
      <c r="V230" s="171">
        <v>0</v>
      </c>
      <c r="W230" s="55"/>
      <c r="X230" s="172">
        <v>0</v>
      </c>
      <c r="Y230" s="55"/>
      <c r="Z230" s="170">
        <v>0</v>
      </c>
      <c r="AA230" s="168">
        <v>0</v>
      </c>
      <c r="AB230" s="167">
        <v>6560129</v>
      </c>
    </row>
    <row r="231" spans="1:28" ht="15">
      <c r="A231" s="164">
        <v>448</v>
      </c>
      <c r="B231" s="168">
        <v>405.3</v>
      </c>
      <c r="C231" s="175">
        <v>8</v>
      </c>
      <c r="D231" s="166">
        <v>112</v>
      </c>
      <c r="E231" s="55"/>
      <c r="F231" s="166">
        <v>0.6</v>
      </c>
      <c r="G231" s="55"/>
      <c r="H231" s="165">
        <v>88</v>
      </c>
      <c r="I231" s="55"/>
      <c r="J231" s="55"/>
      <c r="K231" s="55"/>
      <c r="L231" s="166">
        <v>0</v>
      </c>
      <c r="M231" s="55"/>
      <c r="N231" s="55"/>
      <c r="O231" s="168">
        <v>114</v>
      </c>
      <c r="P231" s="55"/>
      <c r="Q231" s="55"/>
      <c r="R231" s="55"/>
      <c r="S231" s="55"/>
      <c r="T231" s="170">
        <v>0</v>
      </c>
      <c r="U231" s="169">
        <v>0</v>
      </c>
      <c r="V231" s="171">
        <v>0</v>
      </c>
      <c r="W231" s="55"/>
      <c r="X231" s="172">
        <v>0</v>
      </c>
      <c r="Y231" s="55"/>
      <c r="Z231" s="170">
        <v>0</v>
      </c>
      <c r="AA231" s="168">
        <v>0</v>
      </c>
      <c r="AB231" s="167">
        <v>3141787</v>
      </c>
    </row>
    <row r="232" spans="1:28" ht="15">
      <c r="A232" s="164">
        <v>449</v>
      </c>
      <c r="B232" s="168">
        <v>655.9</v>
      </c>
      <c r="C232" s="175">
        <v>0</v>
      </c>
      <c r="D232" s="166">
        <v>187.7</v>
      </c>
      <c r="E232" s="55"/>
      <c r="F232" s="166">
        <v>0</v>
      </c>
      <c r="G232" s="55"/>
      <c r="H232" s="165">
        <v>186</v>
      </c>
      <c r="I232" s="55"/>
      <c r="J232" s="55"/>
      <c r="K232" s="55"/>
      <c r="L232" s="166">
        <v>138.6</v>
      </c>
      <c r="M232" s="55"/>
      <c r="N232" s="55"/>
      <c r="O232" s="168">
        <v>421.5</v>
      </c>
      <c r="P232" s="55"/>
      <c r="Q232" s="55"/>
      <c r="R232" s="55"/>
      <c r="S232" s="55"/>
      <c r="T232" s="170">
        <v>0</v>
      </c>
      <c r="U232" s="169">
        <v>0</v>
      </c>
      <c r="V232" s="171">
        <v>0</v>
      </c>
      <c r="W232" s="55"/>
      <c r="X232" s="172">
        <v>0</v>
      </c>
      <c r="Y232" s="55"/>
      <c r="Z232" s="170">
        <v>0</v>
      </c>
      <c r="AA232" s="168">
        <v>0</v>
      </c>
      <c r="AB232" s="167">
        <v>4981724</v>
      </c>
    </row>
    <row r="233" spans="1:28" ht="15">
      <c r="A233" s="164">
        <v>450</v>
      </c>
      <c r="B233" s="168">
        <v>3467</v>
      </c>
      <c r="C233" s="175">
        <v>0</v>
      </c>
      <c r="D233" s="166">
        <v>510.8</v>
      </c>
      <c r="E233" s="55"/>
      <c r="F233" s="166">
        <v>290.3</v>
      </c>
      <c r="G233" s="55"/>
      <c r="H233" s="165">
        <v>1048</v>
      </c>
      <c r="I233" s="55"/>
      <c r="J233" s="55"/>
      <c r="K233" s="55"/>
      <c r="L233" s="166">
        <v>0</v>
      </c>
      <c r="M233" s="55"/>
      <c r="N233" s="55"/>
      <c r="O233" s="168">
        <v>2487</v>
      </c>
      <c r="P233" s="55"/>
      <c r="Q233" s="55"/>
      <c r="R233" s="55"/>
      <c r="S233" s="55"/>
      <c r="T233" s="170">
        <v>0</v>
      </c>
      <c r="U233" s="169">
        <v>0</v>
      </c>
      <c r="V233" s="171">
        <v>0</v>
      </c>
      <c r="W233" s="55"/>
      <c r="X233" s="172">
        <v>2</v>
      </c>
      <c r="Y233" s="55"/>
      <c r="Z233" s="170">
        <v>0</v>
      </c>
      <c r="AA233" s="168">
        <v>0</v>
      </c>
      <c r="AB233" s="167">
        <v>20787258</v>
      </c>
    </row>
    <row r="234" spans="1:28" ht="15">
      <c r="A234" s="164">
        <v>452</v>
      </c>
      <c r="B234" s="168">
        <v>419.6</v>
      </c>
      <c r="C234" s="175">
        <v>6</v>
      </c>
      <c r="D234" s="166">
        <v>132</v>
      </c>
      <c r="E234" s="55"/>
      <c r="F234" s="166">
        <v>717.2</v>
      </c>
      <c r="G234" s="55"/>
      <c r="H234" s="165">
        <v>202</v>
      </c>
      <c r="I234" s="55"/>
      <c r="J234" s="55"/>
      <c r="K234" s="55"/>
      <c r="L234" s="166">
        <v>0</v>
      </c>
      <c r="M234" s="55"/>
      <c r="N234" s="55"/>
      <c r="O234" s="168">
        <v>113</v>
      </c>
      <c r="P234" s="55"/>
      <c r="Q234" s="55"/>
      <c r="R234" s="55"/>
      <c r="S234" s="55"/>
      <c r="T234" s="170">
        <v>0</v>
      </c>
      <c r="U234" s="169">
        <v>0</v>
      </c>
      <c r="V234" s="171">
        <v>0</v>
      </c>
      <c r="W234" s="55"/>
      <c r="X234" s="172">
        <v>0</v>
      </c>
      <c r="Y234" s="55"/>
      <c r="Z234" s="170">
        <v>0</v>
      </c>
      <c r="AA234" s="168">
        <v>0</v>
      </c>
      <c r="AB234" s="167">
        <v>3500640</v>
      </c>
    </row>
    <row r="235" spans="1:28" ht="15">
      <c r="A235" s="164">
        <v>453</v>
      </c>
      <c r="B235" s="168">
        <v>3451</v>
      </c>
      <c r="C235" s="175">
        <v>58.5</v>
      </c>
      <c r="D235" s="166">
        <v>569</v>
      </c>
      <c r="E235" s="55"/>
      <c r="F235" s="166">
        <v>73.7</v>
      </c>
      <c r="G235" s="55"/>
      <c r="H235" s="165">
        <v>2046</v>
      </c>
      <c r="I235" s="55"/>
      <c r="J235" s="55"/>
      <c r="K235" s="55"/>
      <c r="L235" s="166">
        <v>0</v>
      </c>
      <c r="M235" s="55"/>
      <c r="N235" s="55"/>
      <c r="O235" s="168">
        <v>685</v>
      </c>
      <c r="P235" s="55"/>
      <c r="Q235" s="55"/>
      <c r="R235" s="55"/>
      <c r="S235" s="55"/>
      <c r="T235" s="170">
        <v>97</v>
      </c>
      <c r="U235" s="169">
        <v>0</v>
      </c>
      <c r="V235" s="171">
        <v>0</v>
      </c>
      <c r="W235" s="55"/>
      <c r="X235" s="172">
        <v>0</v>
      </c>
      <c r="Y235" s="55"/>
      <c r="Z235" s="170">
        <v>35</v>
      </c>
      <c r="AA235" s="168">
        <v>0</v>
      </c>
      <c r="AB235" s="167">
        <v>24452786</v>
      </c>
    </row>
    <row r="236" spans="1:28" ht="15">
      <c r="A236" s="164">
        <v>454</v>
      </c>
      <c r="B236" s="168">
        <v>306.5</v>
      </c>
      <c r="C236" s="175">
        <v>4</v>
      </c>
      <c r="D236" s="166">
        <v>75.8</v>
      </c>
      <c r="E236" s="55"/>
      <c r="F236" s="166">
        <v>0.5</v>
      </c>
      <c r="G236" s="55"/>
      <c r="H236" s="165">
        <v>125</v>
      </c>
      <c r="I236" s="55"/>
      <c r="J236" s="55"/>
      <c r="K236" s="55"/>
      <c r="L236" s="166">
        <v>0</v>
      </c>
      <c r="M236" s="55"/>
      <c r="N236" s="55"/>
      <c r="O236" s="168">
        <v>64</v>
      </c>
      <c r="P236" s="55"/>
      <c r="Q236" s="55"/>
      <c r="R236" s="55"/>
      <c r="S236" s="55"/>
      <c r="T236" s="170">
        <v>0</v>
      </c>
      <c r="U236" s="169">
        <v>0</v>
      </c>
      <c r="V236" s="171">
        <v>0</v>
      </c>
      <c r="W236" s="55"/>
      <c r="X236" s="172">
        <v>0</v>
      </c>
      <c r="Y236" s="55"/>
      <c r="Z236" s="170">
        <v>0</v>
      </c>
      <c r="AA236" s="168">
        <v>0</v>
      </c>
      <c r="AB236" s="167">
        <v>2583358</v>
      </c>
    </row>
    <row r="237" spans="1:28" ht="15">
      <c r="A237" s="164">
        <v>456</v>
      </c>
      <c r="B237" s="168">
        <v>278</v>
      </c>
      <c r="C237" s="175">
        <v>0</v>
      </c>
      <c r="D237" s="166">
        <v>99.9</v>
      </c>
      <c r="E237" s="55"/>
      <c r="F237" s="166">
        <v>0</v>
      </c>
      <c r="G237" s="55"/>
      <c r="H237" s="165">
        <v>162</v>
      </c>
      <c r="I237" s="55"/>
      <c r="J237" s="55"/>
      <c r="K237" s="55"/>
      <c r="L237" s="166">
        <v>0</v>
      </c>
      <c r="M237" s="55"/>
      <c r="N237" s="55"/>
      <c r="O237" s="168">
        <v>145</v>
      </c>
      <c r="P237" s="55"/>
      <c r="Q237" s="55"/>
      <c r="R237" s="55"/>
      <c r="S237" s="55"/>
      <c r="T237" s="170">
        <v>0</v>
      </c>
      <c r="U237" s="169">
        <v>0</v>
      </c>
      <c r="V237" s="171">
        <v>0</v>
      </c>
      <c r="W237" s="55"/>
      <c r="X237" s="172">
        <v>0</v>
      </c>
      <c r="Y237" s="55"/>
      <c r="Z237" s="170">
        <v>0</v>
      </c>
      <c r="AA237" s="168">
        <v>0</v>
      </c>
      <c r="AB237" s="167">
        <v>2734191</v>
      </c>
    </row>
    <row r="238" spans="1:28" ht="15">
      <c r="A238" s="164">
        <v>457</v>
      </c>
      <c r="B238" s="168">
        <v>6982.3</v>
      </c>
      <c r="C238" s="175">
        <v>97</v>
      </c>
      <c r="D238" s="166">
        <v>1524</v>
      </c>
      <c r="E238" s="55"/>
      <c r="F238" s="166">
        <v>9437.4</v>
      </c>
      <c r="G238" s="55"/>
      <c r="H238" s="165">
        <v>4355</v>
      </c>
      <c r="I238" s="55"/>
      <c r="J238" s="55"/>
      <c r="K238" s="55"/>
      <c r="L238" s="166">
        <v>2005.2</v>
      </c>
      <c r="M238" s="55"/>
      <c r="N238" s="55"/>
      <c r="O238" s="168">
        <v>2315</v>
      </c>
      <c r="P238" s="55"/>
      <c r="Q238" s="55"/>
      <c r="R238" s="55"/>
      <c r="S238" s="55"/>
      <c r="T238" s="170">
        <v>27.9</v>
      </c>
      <c r="U238" s="169">
        <v>0</v>
      </c>
      <c r="V238" s="171">
        <v>0</v>
      </c>
      <c r="W238" s="55"/>
      <c r="X238" s="172">
        <v>0</v>
      </c>
      <c r="Y238" s="55"/>
      <c r="Z238" s="170">
        <v>0</v>
      </c>
      <c r="AA238" s="168">
        <v>0</v>
      </c>
      <c r="AB238" s="167">
        <v>50398697</v>
      </c>
    </row>
    <row r="239" spans="1:28" ht="15">
      <c r="A239" s="164">
        <v>458</v>
      </c>
      <c r="B239" s="168">
        <v>2030.9</v>
      </c>
      <c r="C239" s="175">
        <v>0</v>
      </c>
      <c r="D239" s="166">
        <v>413.2</v>
      </c>
      <c r="E239" s="55"/>
      <c r="F239" s="166">
        <v>21.3</v>
      </c>
      <c r="G239" s="55"/>
      <c r="H239" s="165">
        <v>339</v>
      </c>
      <c r="I239" s="55"/>
      <c r="J239" s="55"/>
      <c r="K239" s="55"/>
      <c r="L239" s="166">
        <v>0</v>
      </c>
      <c r="M239" s="55"/>
      <c r="N239" s="55"/>
      <c r="O239" s="168">
        <v>1134</v>
      </c>
      <c r="P239" s="55"/>
      <c r="Q239" s="55"/>
      <c r="R239" s="55"/>
      <c r="S239" s="55"/>
      <c r="T239" s="170">
        <v>235.2</v>
      </c>
      <c r="U239" s="169">
        <v>0</v>
      </c>
      <c r="V239" s="171">
        <v>0</v>
      </c>
      <c r="W239" s="55"/>
      <c r="X239" s="172">
        <v>0</v>
      </c>
      <c r="Y239" s="55"/>
      <c r="Z239" s="170">
        <v>0</v>
      </c>
      <c r="AA239" s="168">
        <v>0</v>
      </c>
      <c r="AB239" s="167">
        <v>11744280</v>
      </c>
    </row>
    <row r="240" spans="1:28" ht="15">
      <c r="A240" s="164">
        <v>459</v>
      </c>
      <c r="B240" s="168">
        <v>226.2</v>
      </c>
      <c r="C240" s="175">
        <v>3</v>
      </c>
      <c r="D240" s="166">
        <v>59.2</v>
      </c>
      <c r="E240" s="55"/>
      <c r="F240" s="166">
        <v>11.3</v>
      </c>
      <c r="G240" s="55"/>
      <c r="H240" s="165">
        <v>116</v>
      </c>
      <c r="I240" s="55"/>
      <c r="J240" s="55"/>
      <c r="K240" s="55"/>
      <c r="L240" s="166">
        <v>0</v>
      </c>
      <c r="M240" s="55"/>
      <c r="N240" s="55"/>
      <c r="O240" s="168">
        <v>74</v>
      </c>
      <c r="P240" s="55"/>
      <c r="Q240" s="55"/>
      <c r="R240" s="55"/>
      <c r="S240" s="55"/>
      <c r="T240" s="170">
        <v>0</v>
      </c>
      <c r="U240" s="169">
        <v>0</v>
      </c>
      <c r="V240" s="171">
        <v>0</v>
      </c>
      <c r="W240" s="55"/>
      <c r="X240" s="172">
        <v>0</v>
      </c>
      <c r="Y240" s="55"/>
      <c r="Z240" s="170">
        <v>0</v>
      </c>
      <c r="AA240" s="168">
        <v>0</v>
      </c>
      <c r="AB240" s="167">
        <v>2120111</v>
      </c>
    </row>
    <row r="241" spans="1:28" ht="15">
      <c r="A241" s="164">
        <v>460</v>
      </c>
      <c r="B241" s="168">
        <v>794</v>
      </c>
      <c r="C241" s="175">
        <v>0</v>
      </c>
      <c r="D241" s="166">
        <v>308.60000000000002</v>
      </c>
      <c r="E241" s="55"/>
      <c r="F241" s="166">
        <v>52.2</v>
      </c>
      <c r="G241" s="55"/>
      <c r="H241" s="165">
        <v>147</v>
      </c>
      <c r="I241" s="55"/>
      <c r="J241" s="55"/>
      <c r="K241" s="55"/>
      <c r="L241" s="166">
        <v>0</v>
      </c>
      <c r="M241" s="55"/>
      <c r="N241" s="55"/>
      <c r="O241" s="168">
        <v>77.5</v>
      </c>
      <c r="P241" s="55"/>
      <c r="Q241" s="55"/>
      <c r="R241" s="55"/>
      <c r="S241" s="55"/>
      <c r="T241" s="170">
        <v>0</v>
      </c>
      <c r="U241" s="169">
        <v>0</v>
      </c>
      <c r="V241" s="171">
        <v>0</v>
      </c>
      <c r="W241" s="55"/>
      <c r="X241" s="172">
        <v>0</v>
      </c>
      <c r="Y241" s="55"/>
      <c r="Z241" s="170">
        <v>0</v>
      </c>
      <c r="AA241" s="168">
        <v>0</v>
      </c>
      <c r="AB241" s="167">
        <v>5354778</v>
      </c>
    </row>
    <row r="242" spans="1:28" ht="15">
      <c r="A242" s="164">
        <v>461</v>
      </c>
      <c r="B242" s="168">
        <v>663.5</v>
      </c>
      <c r="C242" s="175">
        <v>8</v>
      </c>
      <c r="D242" s="166">
        <v>162.4</v>
      </c>
      <c r="E242" s="55"/>
      <c r="F242" s="166">
        <v>0</v>
      </c>
      <c r="G242" s="55"/>
      <c r="H242" s="165">
        <v>355</v>
      </c>
      <c r="I242" s="55"/>
      <c r="J242" s="55"/>
      <c r="K242" s="55"/>
      <c r="L242" s="166">
        <v>0</v>
      </c>
      <c r="M242" s="55"/>
      <c r="N242" s="55"/>
      <c r="O242" s="168">
        <v>108.5</v>
      </c>
      <c r="P242" s="55"/>
      <c r="Q242" s="55"/>
      <c r="R242" s="55"/>
      <c r="S242" s="55"/>
      <c r="T242" s="170">
        <v>0</v>
      </c>
      <c r="U242" s="169">
        <v>0</v>
      </c>
      <c r="V242" s="171">
        <v>0</v>
      </c>
      <c r="W242" s="55"/>
      <c r="X242" s="172">
        <v>0</v>
      </c>
      <c r="Y242" s="55"/>
      <c r="Z242" s="170">
        <v>0</v>
      </c>
      <c r="AA242" s="168">
        <v>0</v>
      </c>
      <c r="AB242" s="167">
        <v>5208934</v>
      </c>
    </row>
    <row r="243" spans="1:28" ht="15">
      <c r="A243" s="164">
        <v>462</v>
      </c>
      <c r="B243" s="168">
        <v>313</v>
      </c>
      <c r="C243" s="175">
        <v>0</v>
      </c>
      <c r="D243" s="166">
        <v>99.8</v>
      </c>
      <c r="E243" s="55"/>
      <c r="F243" s="166">
        <v>0</v>
      </c>
      <c r="G243" s="55"/>
      <c r="H243" s="165">
        <v>155</v>
      </c>
      <c r="I243" s="55"/>
      <c r="J243" s="55"/>
      <c r="K243" s="55"/>
      <c r="L243" s="166">
        <v>0</v>
      </c>
      <c r="M243" s="55"/>
      <c r="N243" s="55"/>
      <c r="O243" s="168">
        <v>138</v>
      </c>
      <c r="P243" s="55"/>
      <c r="Q243" s="55"/>
      <c r="R243" s="55"/>
      <c r="S243" s="55"/>
      <c r="T243" s="170">
        <v>0.5</v>
      </c>
      <c r="U243" s="169">
        <v>0</v>
      </c>
      <c r="V243" s="171">
        <v>0</v>
      </c>
      <c r="W243" s="55"/>
      <c r="X243" s="172">
        <v>0</v>
      </c>
      <c r="Y243" s="55"/>
      <c r="Z243" s="170">
        <v>0</v>
      </c>
      <c r="AA243" s="168">
        <v>0</v>
      </c>
      <c r="AB243" s="167">
        <v>2729202</v>
      </c>
    </row>
    <row r="244" spans="1:28" ht="15">
      <c r="A244" s="164">
        <v>463</v>
      </c>
      <c r="B244" s="168">
        <v>343.5</v>
      </c>
      <c r="C244" s="175">
        <v>0</v>
      </c>
      <c r="D244" s="166">
        <v>115.5</v>
      </c>
      <c r="E244" s="55"/>
      <c r="F244" s="166">
        <v>0</v>
      </c>
      <c r="G244" s="55"/>
      <c r="H244" s="165">
        <v>138</v>
      </c>
      <c r="I244" s="55"/>
      <c r="J244" s="55"/>
      <c r="K244" s="55"/>
      <c r="L244" s="166">
        <v>0</v>
      </c>
      <c r="M244" s="55"/>
      <c r="N244" s="55"/>
      <c r="O244" s="168">
        <v>109</v>
      </c>
      <c r="P244" s="55"/>
      <c r="Q244" s="55"/>
      <c r="R244" s="55"/>
      <c r="S244" s="55"/>
      <c r="T244" s="170">
        <v>0</v>
      </c>
      <c r="U244" s="169">
        <v>0</v>
      </c>
      <c r="V244" s="171">
        <v>0</v>
      </c>
      <c r="W244" s="55"/>
      <c r="X244" s="172">
        <v>0</v>
      </c>
      <c r="Y244" s="55"/>
      <c r="Z244" s="170">
        <v>0</v>
      </c>
      <c r="AA244" s="168">
        <v>0</v>
      </c>
      <c r="AB244" s="167">
        <v>2726131</v>
      </c>
    </row>
    <row r="245" spans="1:28" ht="15">
      <c r="A245" s="164">
        <v>464</v>
      </c>
      <c r="B245" s="168">
        <v>1859</v>
      </c>
      <c r="C245" s="175">
        <v>0</v>
      </c>
      <c r="D245" s="166">
        <v>528.79999999999995</v>
      </c>
      <c r="E245" s="55"/>
      <c r="F245" s="166">
        <v>0</v>
      </c>
      <c r="G245" s="55"/>
      <c r="H245" s="165">
        <v>514</v>
      </c>
      <c r="I245" s="55"/>
      <c r="J245" s="55"/>
      <c r="K245" s="55"/>
      <c r="L245" s="166">
        <v>0</v>
      </c>
      <c r="M245" s="55"/>
      <c r="N245" s="55"/>
      <c r="O245" s="168">
        <v>867</v>
      </c>
      <c r="P245" s="55"/>
      <c r="Q245" s="55"/>
      <c r="R245" s="55"/>
      <c r="S245" s="55"/>
      <c r="T245" s="170">
        <v>6</v>
      </c>
      <c r="U245" s="169">
        <v>0</v>
      </c>
      <c r="V245" s="171">
        <v>0</v>
      </c>
      <c r="W245" s="55"/>
      <c r="X245" s="172">
        <v>0</v>
      </c>
      <c r="Y245" s="55"/>
      <c r="Z245" s="170">
        <v>0</v>
      </c>
      <c r="AA245" s="168">
        <v>0</v>
      </c>
      <c r="AB245" s="167">
        <v>10994311</v>
      </c>
    </row>
    <row r="246" spans="1:28" ht="15">
      <c r="A246" s="164">
        <v>465</v>
      </c>
      <c r="B246" s="168">
        <v>2211.8000000000002</v>
      </c>
      <c r="C246" s="175">
        <v>15.5</v>
      </c>
      <c r="D246" s="166">
        <v>821.4</v>
      </c>
      <c r="E246" s="55"/>
      <c r="F246" s="166">
        <v>148.5</v>
      </c>
      <c r="G246" s="55"/>
      <c r="H246" s="165">
        <v>1147</v>
      </c>
      <c r="I246" s="55"/>
      <c r="J246" s="55"/>
      <c r="K246" s="55"/>
      <c r="L246" s="166">
        <v>0</v>
      </c>
      <c r="M246" s="55"/>
      <c r="N246" s="55"/>
      <c r="O246" s="168">
        <v>587.5</v>
      </c>
      <c r="P246" s="55"/>
      <c r="Q246" s="55"/>
      <c r="R246" s="55"/>
      <c r="S246" s="55"/>
      <c r="T246" s="170">
        <v>0</v>
      </c>
      <c r="U246" s="169">
        <v>0</v>
      </c>
      <c r="V246" s="171">
        <v>0</v>
      </c>
      <c r="W246" s="55"/>
      <c r="X246" s="172">
        <v>0</v>
      </c>
      <c r="Y246" s="55"/>
      <c r="Z246" s="170">
        <v>0</v>
      </c>
      <c r="AA246" s="168">
        <v>0</v>
      </c>
      <c r="AB246" s="167">
        <v>14991996</v>
      </c>
    </row>
    <row r="247" spans="1:28" ht="15">
      <c r="A247" s="164">
        <v>466</v>
      </c>
      <c r="B247" s="168">
        <v>871.7</v>
      </c>
      <c r="C247" s="175">
        <v>14.5</v>
      </c>
      <c r="D247" s="166">
        <v>81.599999999999994</v>
      </c>
      <c r="E247" s="55"/>
      <c r="F247" s="166">
        <v>558.6</v>
      </c>
      <c r="G247" s="55"/>
      <c r="H247" s="165">
        <v>355</v>
      </c>
      <c r="I247" s="55"/>
      <c r="J247" s="55"/>
      <c r="K247" s="55"/>
      <c r="L247" s="166">
        <v>0</v>
      </c>
      <c r="M247" s="55"/>
      <c r="N247" s="55"/>
      <c r="O247" s="168">
        <v>155</v>
      </c>
      <c r="P247" s="55"/>
      <c r="Q247" s="55"/>
      <c r="R247" s="55"/>
      <c r="S247" s="55"/>
      <c r="T247" s="170">
        <v>9.4</v>
      </c>
      <c r="U247" s="169">
        <v>0</v>
      </c>
      <c r="V247" s="171">
        <v>0</v>
      </c>
      <c r="W247" s="55"/>
      <c r="X247" s="172">
        <v>0</v>
      </c>
      <c r="Y247" s="55"/>
      <c r="Z247" s="170">
        <v>0</v>
      </c>
      <c r="AA247" s="168">
        <v>0</v>
      </c>
      <c r="AB247" s="167">
        <v>6171888</v>
      </c>
    </row>
    <row r="248" spans="1:28" ht="15">
      <c r="A248" s="164">
        <v>467</v>
      </c>
      <c r="B248" s="168">
        <v>391</v>
      </c>
      <c r="C248" s="175">
        <v>8</v>
      </c>
      <c r="D248" s="166">
        <v>91.3</v>
      </c>
      <c r="E248" s="55"/>
      <c r="F248" s="166">
        <v>777.4</v>
      </c>
      <c r="G248" s="55"/>
      <c r="H248" s="165">
        <v>188</v>
      </c>
      <c r="I248" s="55"/>
      <c r="J248" s="55"/>
      <c r="K248" s="55"/>
      <c r="L248" s="166">
        <v>0</v>
      </c>
      <c r="M248" s="55"/>
      <c r="N248" s="55"/>
      <c r="O248" s="168">
        <v>79</v>
      </c>
      <c r="P248" s="55"/>
      <c r="Q248" s="55"/>
      <c r="R248" s="55"/>
      <c r="S248" s="55"/>
      <c r="T248" s="170">
        <v>0</v>
      </c>
      <c r="U248" s="169">
        <v>0</v>
      </c>
      <c r="V248" s="171">
        <v>0</v>
      </c>
      <c r="W248" s="55"/>
      <c r="X248" s="172">
        <v>0</v>
      </c>
      <c r="Y248" s="55"/>
      <c r="Z248" s="170">
        <v>0</v>
      </c>
      <c r="AA248" s="168">
        <v>0</v>
      </c>
      <c r="AB248" s="167">
        <v>3149079</v>
      </c>
    </row>
    <row r="249" spans="1:28" ht="15">
      <c r="A249" s="164">
        <v>468</v>
      </c>
      <c r="B249" s="168">
        <v>80</v>
      </c>
      <c r="C249" s="175">
        <v>0</v>
      </c>
      <c r="D249" s="166">
        <v>0</v>
      </c>
      <c r="E249" s="55"/>
      <c r="F249" s="166">
        <v>25.3</v>
      </c>
      <c r="G249" s="55"/>
      <c r="H249" s="165">
        <v>49</v>
      </c>
      <c r="I249" s="55"/>
      <c r="J249" s="55"/>
      <c r="K249" s="55"/>
      <c r="L249" s="166">
        <v>0</v>
      </c>
      <c r="M249" s="55"/>
      <c r="N249" s="55"/>
      <c r="O249" s="168">
        <v>8.5</v>
      </c>
      <c r="P249" s="55"/>
      <c r="Q249" s="55"/>
      <c r="R249" s="55"/>
      <c r="S249" s="55"/>
      <c r="T249" s="170">
        <v>0.3</v>
      </c>
      <c r="U249" s="169">
        <v>0</v>
      </c>
      <c r="V249" s="171">
        <v>0</v>
      </c>
      <c r="W249" s="55"/>
      <c r="X249" s="172">
        <v>0</v>
      </c>
      <c r="Y249" s="55"/>
      <c r="Z249" s="170">
        <v>0</v>
      </c>
      <c r="AA249" s="168">
        <v>0</v>
      </c>
      <c r="AB249" s="167">
        <v>924958</v>
      </c>
    </row>
    <row r="250" spans="1:28" ht="15">
      <c r="A250" s="164">
        <v>469</v>
      </c>
      <c r="B250" s="168">
        <v>2523.4</v>
      </c>
      <c r="C250" s="175">
        <v>0</v>
      </c>
      <c r="D250" s="166">
        <v>249.3</v>
      </c>
      <c r="E250" s="55"/>
      <c r="F250" s="166">
        <v>71.900000000000006</v>
      </c>
      <c r="G250" s="55"/>
      <c r="H250" s="165">
        <v>573</v>
      </c>
      <c r="I250" s="55"/>
      <c r="J250" s="55"/>
      <c r="K250" s="55"/>
      <c r="L250" s="166">
        <v>0</v>
      </c>
      <c r="M250" s="55"/>
      <c r="N250" s="55"/>
      <c r="O250" s="168">
        <v>480</v>
      </c>
      <c r="P250" s="55"/>
      <c r="Q250" s="55"/>
      <c r="R250" s="55"/>
      <c r="S250" s="55"/>
      <c r="T250" s="170">
        <v>0</v>
      </c>
      <c r="U250" s="169">
        <v>0</v>
      </c>
      <c r="V250" s="171">
        <v>0</v>
      </c>
      <c r="W250" s="55"/>
      <c r="X250" s="172">
        <v>0</v>
      </c>
      <c r="Y250" s="55"/>
      <c r="Z250" s="170">
        <v>0</v>
      </c>
      <c r="AA250" s="168">
        <v>0</v>
      </c>
      <c r="AB250" s="167">
        <v>14025971</v>
      </c>
    </row>
    <row r="251" spans="1:28" ht="15">
      <c r="A251" s="164">
        <v>470</v>
      </c>
      <c r="B251" s="168">
        <v>2599.1999999999998</v>
      </c>
      <c r="C251" s="175">
        <v>54.5</v>
      </c>
      <c r="D251" s="166">
        <v>624.5</v>
      </c>
      <c r="E251" s="55"/>
      <c r="F251" s="166">
        <v>885</v>
      </c>
      <c r="G251" s="55"/>
      <c r="H251" s="165">
        <v>1696</v>
      </c>
      <c r="I251" s="55"/>
      <c r="J251" s="55"/>
      <c r="K251" s="55"/>
      <c r="L251" s="166">
        <v>0</v>
      </c>
      <c r="M251" s="55"/>
      <c r="N251" s="55"/>
      <c r="O251" s="168">
        <v>840</v>
      </c>
      <c r="P251" s="55"/>
      <c r="Q251" s="55"/>
      <c r="R251" s="55"/>
      <c r="S251" s="55"/>
      <c r="T251" s="170">
        <v>0</v>
      </c>
      <c r="U251" s="169">
        <v>0</v>
      </c>
      <c r="V251" s="171">
        <v>0</v>
      </c>
      <c r="W251" s="55"/>
      <c r="X251" s="172">
        <v>0</v>
      </c>
      <c r="Y251" s="55"/>
      <c r="Z251" s="170">
        <v>0</v>
      </c>
      <c r="AA251" s="168">
        <v>0</v>
      </c>
      <c r="AB251" s="167">
        <v>18262608</v>
      </c>
    </row>
    <row r="252" spans="1:28" ht="15">
      <c r="A252" s="164">
        <v>471</v>
      </c>
      <c r="B252" s="168">
        <v>147.30000000000001</v>
      </c>
      <c r="C252" s="175">
        <v>0</v>
      </c>
      <c r="D252" s="166">
        <v>0</v>
      </c>
      <c r="E252" s="55"/>
      <c r="F252" s="166">
        <v>0</v>
      </c>
      <c r="G252" s="55"/>
      <c r="H252" s="165">
        <v>78</v>
      </c>
      <c r="I252" s="55"/>
      <c r="J252" s="55"/>
      <c r="K252" s="55"/>
      <c r="L252" s="166">
        <v>0</v>
      </c>
      <c r="M252" s="55"/>
      <c r="N252" s="55"/>
      <c r="O252" s="168">
        <v>48</v>
      </c>
      <c r="P252" s="55"/>
      <c r="Q252" s="55"/>
      <c r="R252" s="55"/>
      <c r="S252" s="55"/>
      <c r="T252" s="170">
        <v>0</v>
      </c>
      <c r="U252" s="169">
        <v>0</v>
      </c>
      <c r="V252" s="171">
        <v>0</v>
      </c>
      <c r="W252" s="55"/>
      <c r="X252" s="172">
        <v>0</v>
      </c>
      <c r="Y252" s="55"/>
      <c r="Z252" s="170">
        <v>0</v>
      </c>
      <c r="AA252" s="168">
        <v>0</v>
      </c>
      <c r="AB252" s="167">
        <v>1541341</v>
      </c>
    </row>
    <row r="253" spans="1:28" ht="15">
      <c r="A253" s="164">
        <v>473</v>
      </c>
      <c r="B253" s="168">
        <v>1019.5</v>
      </c>
      <c r="C253" s="175">
        <v>0</v>
      </c>
      <c r="D253" s="166">
        <v>347.5</v>
      </c>
      <c r="E253" s="55"/>
      <c r="F253" s="166">
        <v>3</v>
      </c>
      <c r="G253" s="55"/>
      <c r="H253" s="165">
        <v>362</v>
      </c>
      <c r="I253" s="55"/>
      <c r="J253" s="55"/>
      <c r="K253" s="55"/>
      <c r="L253" s="166">
        <v>13.9</v>
      </c>
      <c r="M253" s="55"/>
      <c r="N253" s="55"/>
      <c r="O253" s="168">
        <v>443</v>
      </c>
      <c r="P253" s="55"/>
      <c r="Q253" s="55"/>
      <c r="R253" s="55"/>
      <c r="S253" s="55"/>
      <c r="T253" s="170">
        <v>0</v>
      </c>
      <c r="U253" s="169">
        <v>0</v>
      </c>
      <c r="V253" s="171">
        <v>0</v>
      </c>
      <c r="W253" s="55"/>
      <c r="X253" s="172">
        <v>1</v>
      </c>
      <c r="Y253" s="55"/>
      <c r="Z253" s="170">
        <v>0</v>
      </c>
      <c r="AA253" s="168">
        <v>0</v>
      </c>
      <c r="AB253" s="167">
        <v>7299876</v>
      </c>
    </row>
    <row r="254" spans="1:28" ht="15">
      <c r="A254" s="164">
        <v>474</v>
      </c>
      <c r="B254" s="168">
        <v>104.5</v>
      </c>
      <c r="C254" s="175">
        <v>0</v>
      </c>
      <c r="D254" s="166">
        <v>36.6</v>
      </c>
      <c r="E254" s="55"/>
      <c r="F254" s="166">
        <v>0</v>
      </c>
      <c r="G254" s="55"/>
      <c r="H254" s="165">
        <v>29</v>
      </c>
      <c r="I254" s="55"/>
      <c r="J254" s="55"/>
      <c r="K254" s="55"/>
      <c r="L254" s="166">
        <v>0</v>
      </c>
      <c r="M254" s="55"/>
      <c r="N254" s="55"/>
      <c r="O254" s="168">
        <v>49</v>
      </c>
      <c r="P254" s="55"/>
      <c r="Q254" s="55"/>
      <c r="R254" s="55"/>
      <c r="S254" s="55"/>
      <c r="T254" s="170">
        <v>0</v>
      </c>
      <c r="U254" s="169">
        <v>0</v>
      </c>
      <c r="V254" s="171">
        <v>0</v>
      </c>
      <c r="W254" s="55"/>
      <c r="X254" s="172">
        <v>0</v>
      </c>
      <c r="Y254" s="55"/>
      <c r="Z254" s="170">
        <v>0</v>
      </c>
      <c r="AA254" s="168">
        <v>0</v>
      </c>
      <c r="AB254" s="167">
        <v>1220100</v>
      </c>
    </row>
    <row r="255" spans="1:28" ht="15">
      <c r="A255" s="164">
        <v>475</v>
      </c>
      <c r="B255" s="186">
        <v>7639.6</v>
      </c>
      <c r="C255" s="175">
        <v>29.5</v>
      </c>
      <c r="D255" s="166">
        <v>608.20000000000005</v>
      </c>
      <c r="E255" s="55"/>
      <c r="F255" s="166">
        <v>1793.4</v>
      </c>
      <c r="G255" s="55"/>
      <c r="H255" s="165">
        <v>3381</v>
      </c>
      <c r="I255" s="55"/>
      <c r="J255" s="55"/>
      <c r="K255" s="55"/>
      <c r="L255" s="166">
        <v>810</v>
      </c>
      <c r="M255" s="55"/>
      <c r="N255" s="55"/>
      <c r="O255" s="168">
        <v>2314</v>
      </c>
      <c r="P255" s="55"/>
      <c r="Q255" s="55"/>
      <c r="R255" s="55"/>
      <c r="S255" s="55"/>
      <c r="T255" s="170">
        <v>8</v>
      </c>
      <c r="U255" s="169">
        <v>0</v>
      </c>
      <c r="V255" s="171">
        <v>0</v>
      </c>
      <c r="W255" s="55"/>
      <c r="X255" s="178">
        <v>1</v>
      </c>
      <c r="Y255" s="55"/>
      <c r="Z255" s="170">
        <v>150</v>
      </c>
      <c r="AA255" s="168">
        <v>6</v>
      </c>
      <c r="AB255" s="167">
        <v>50238652</v>
      </c>
    </row>
    <row r="256" spans="1:28" ht="15">
      <c r="A256" s="164">
        <v>476</v>
      </c>
      <c r="B256" s="168">
        <v>108</v>
      </c>
      <c r="C256" s="175">
        <v>3.5</v>
      </c>
      <c r="D256" s="166">
        <v>30.8</v>
      </c>
      <c r="E256" s="55"/>
      <c r="F256" s="166">
        <v>306.89999999999998</v>
      </c>
      <c r="G256" s="55"/>
      <c r="H256" s="165">
        <v>38</v>
      </c>
      <c r="I256" s="55"/>
      <c r="J256" s="55"/>
      <c r="K256" s="55"/>
      <c r="L256" s="166">
        <v>0</v>
      </c>
      <c r="M256" s="55"/>
      <c r="N256" s="55"/>
      <c r="O256" s="168">
        <v>56</v>
      </c>
      <c r="P256" s="55"/>
      <c r="Q256" s="55"/>
      <c r="R256" s="55"/>
      <c r="S256" s="55"/>
      <c r="T256" s="170">
        <v>0</v>
      </c>
      <c r="U256" s="169">
        <v>0</v>
      </c>
      <c r="V256" s="171">
        <v>0</v>
      </c>
      <c r="W256" s="55"/>
      <c r="X256" s="172">
        <v>0</v>
      </c>
      <c r="Y256" s="55"/>
      <c r="Z256" s="170">
        <v>0</v>
      </c>
      <c r="AA256" s="168">
        <v>0</v>
      </c>
      <c r="AB256" s="167">
        <v>1419292</v>
      </c>
    </row>
    <row r="257" spans="1:28" ht="15">
      <c r="A257" s="164">
        <v>477</v>
      </c>
      <c r="B257" s="168">
        <v>222</v>
      </c>
      <c r="C257" s="175">
        <v>3</v>
      </c>
      <c r="D257" s="166">
        <v>0</v>
      </c>
      <c r="E257" s="55"/>
      <c r="F257" s="166">
        <v>202.4</v>
      </c>
      <c r="G257" s="55"/>
      <c r="H257" s="165">
        <v>73</v>
      </c>
      <c r="I257" s="55"/>
      <c r="J257" s="55"/>
      <c r="K257" s="55"/>
      <c r="L257" s="166">
        <v>0</v>
      </c>
      <c r="M257" s="55"/>
      <c r="N257" s="55"/>
      <c r="O257" s="168">
        <v>60</v>
      </c>
      <c r="P257" s="55"/>
      <c r="Q257" s="55"/>
      <c r="R257" s="55"/>
      <c r="S257" s="55"/>
      <c r="T257" s="170">
        <v>0</v>
      </c>
      <c r="U257" s="169">
        <v>0</v>
      </c>
      <c r="V257" s="171">
        <v>0</v>
      </c>
      <c r="W257" s="55"/>
      <c r="X257" s="172">
        <v>0</v>
      </c>
      <c r="Y257" s="55"/>
      <c r="Z257" s="170">
        <v>0</v>
      </c>
      <c r="AA257" s="168">
        <v>0</v>
      </c>
      <c r="AB257" s="167">
        <v>1989235</v>
      </c>
    </row>
    <row r="258" spans="1:28" ht="15">
      <c r="A258" s="164">
        <v>479</v>
      </c>
      <c r="B258" s="168">
        <v>204.5</v>
      </c>
      <c r="C258" s="175">
        <v>3</v>
      </c>
      <c r="D258" s="166">
        <v>66.3</v>
      </c>
      <c r="E258" s="55"/>
      <c r="F258" s="166">
        <v>0</v>
      </c>
      <c r="G258" s="55"/>
      <c r="H258" s="165">
        <v>91</v>
      </c>
      <c r="I258" s="55"/>
      <c r="J258" s="55"/>
      <c r="K258" s="55"/>
      <c r="L258" s="166">
        <v>0</v>
      </c>
      <c r="M258" s="55"/>
      <c r="N258" s="55"/>
      <c r="O258" s="168">
        <v>90</v>
      </c>
      <c r="P258" s="55"/>
      <c r="Q258" s="55"/>
      <c r="R258" s="55"/>
      <c r="S258" s="55"/>
      <c r="T258" s="170">
        <v>0</v>
      </c>
      <c r="U258" s="169">
        <v>0</v>
      </c>
      <c r="V258" s="171">
        <v>0</v>
      </c>
      <c r="W258" s="55"/>
      <c r="X258" s="172">
        <v>0</v>
      </c>
      <c r="Y258" s="55"/>
      <c r="Z258" s="170">
        <v>0</v>
      </c>
      <c r="AA258" s="168">
        <v>0</v>
      </c>
      <c r="AB258" s="167">
        <v>2170005</v>
      </c>
    </row>
    <row r="259" spans="1:28" ht="15">
      <c r="A259" s="164">
        <v>480</v>
      </c>
      <c r="B259" s="168">
        <v>4540.1000000000004</v>
      </c>
      <c r="C259" s="175">
        <v>85.5</v>
      </c>
      <c r="D259" s="166">
        <v>461.6</v>
      </c>
      <c r="E259" s="55"/>
      <c r="F259" s="166">
        <v>10574.3</v>
      </c>
      <c r="G259" s="55"/>
      <c r="H259" s="165">
        <v>3307</v>
      </c>
      <c r="I259" s="55"/>
      <c r="J259" s="55"/>
      <c r="K259" s="55"/>
      <c r="L259" s="166">
        <v>0</v>
      </c>
      <c r="M259" s="55"/>
      <c r="N259" s="55"/>
      <c r="O259" s="168">
        <v>208.1</v>
      </c>
      <c r="P259" s="55"/>
      <c r="Q259" s="55"/>
      <c r="R259" s="55"/>
      <c r="S259" s="55"/>
      <c r="T259" s="170">
        <v>1</v>
      </c>
      <c r="U259" s="169">
        <v>0</v>
      </c>
      <c r="V259" s="171">
        <v>1</v>
      </c>
      <c r="W259" s="55"/>
      <c r="X259" s="178">
        <v>2</v>
      </c>
      <c r="Y259" s="55"/>
      <c r="Z259" s="170">
        <v>0</v>
      </c>
      <c r="AA259" s="168">
        <v>0</v>
      </c>
      <c r="AB259" s="167">
        <v>30810313</v>
      </c>
    </row>
    <row r="260" spans="1:28" ht="15">
      <c r="A260" s="164">
        <v>481</v>
      </c>
      <c r="B260" s="168">
        <v>306</v>
      </c>
      <c r="C260" s="175">
        <v>7</v>
      </c>
      <c r="D260" s="166">
        <v>145.69999999999999</v>
      </c>
      <c r="E260" s="55"/>
      <c r="F260" s="166">
        <v>0</v>
      </c>
      <c r="G260" s="55"/>
      <c r="H260" s="165">
        <v>130</v>
      </c>
      <c r="I260" s="55"/>
      <c r="J260" s="55"/>
      <c r="K260" s="55"/>
      <c r="L260" s="166">
        <v>0</v>
      </c>
      <c r="M260" s="55"/>
      <c r="N260" s="55"/>
      <c r="O260" s="168">
        <v>124.5</v>
      </c>
      <c r="P260" s="55"/>
      <c r="Q260" s="55"/>
      <c r="R260" s="55"/>
      <c r="S260" s="55"/>
      <c r="T260" s="170">
        <v>0</v>
      </c>
      <c r="U260" s="169">
        <v>0</v>
      </c>
      <c r="V260" s="171">
        <v>0</v>
      </c>
      <c r="W260" s="55"/>
      <c r="X260" s="172">
        <v>0</v>
      </c>
      <c r="Y260" s="55"/>
      <c r="Z260" s="170">
        <v>0</v>
      </c>
      <c r="AA260" s="168">
        <v>0</v>
      </c>
      <c r="AB260" s="167">
        <v>2656280</v>
      </c>
    </row>
    <row r="261" spans="1:28" ht="15">
      <c r="A261" s="164">
        <v>482</v>
      </c>
      <c r="B261" s="168">
        <v>242</v>
      </c>
      <c r="C261" s="175">
        <v>2.5</v>
      </c>
      <c r="D261" s="166">
        <v>51.2</v>
      </c>
      <c r="E261" s="55"/>
      <c r="F261" s="166">
        <v>0</v>
      </c>
      <c r="G261" s="55"/>
      <c r="H261" s="165">
        <v>81</v>
      </c>
      <c r="I261" s="55"/>
      <c r="J261" s="55"/>
      <c r="K261" s="55"/>
      <c r="L261" s="166">
        <v>0</v>
      </c>
      <c r="M261" s="55"/>
      <c r="N261" s="55"/>
      <c r="O261" s="168">
        <v>50</v>
      </c>
      <c r="P261" s="55"/>
      <c r="Q261" s="55"/>
      <c r="R261" s="55"/>
      <c r="S261" s="55"/>
      <c r="T261" s="170">
        <v>0</v>
      </c>
      <c r="U261" s="169">
        <v>0</v>
      </c>
      <c r="V261" s="171">
        <v>0</v>
      </c>
      <c r="W261" s="55"/>
      <c r="X261" s="172">
        <v>0</v>
      </c>
      <c r="Y261" s="55"/>
      <c r="Z261" s="170">
        <v>0</v>
      </c>
      <c r="AA261" s="168">
        <v>0</v>
      </c>
      <c r="AB261" s="167">
        <v>1943947</v>
      </c>
    </row>
    <row r="262" spans="1:28" ht="15">
      <c r="A262" s="164">
        <v>483</v>
      </c>
      <c r="B262" s="168">
        <v>659.5</v>
      </c>
      <c r="C262" s="175">
        <v>16</v>
      </c>
      <c r="D262" s="166">
        <v>44.6</v>
      </c>
      <c r="E262" s="55"/>
      <c r="F262" s="166">
        <v>2599.5</v>
      </c>
      <c r="G262" s="55"/>
      <c r="H262" s="165">
        <v>439</v>
      </c>
      <c r="I262" s="55"/>
      <c r="J262" s="55"/>
      <c r="K262" s="55"/>
      <c r="L262" s="166">
        <v>0</v>
      </c>
      <c r="M262" s="55"/>
      <c r="N262" s="55"/>
      <c r="O262" s="168">
        <v>596</v>
      </c>
      <c r="P262" s="55"/>
      <c r="Q262" s="55"/>
      <c r="R262" s="55"/>
      <c r="S262" s="55"/>
      <c r="T262" s="170">
        <v>0</v>
      </c>
      <c r="U262" s="169">
        <v>0</v>
      </c>
      <c r="V262" s="171">
        <v>0</v>
      </c>
      <c r="W262" s="55"/>
      <c r="X262" s="172">
        <v>0</v>
      </c>
      <c r="Y262" s="55"/>
      <c r="Z262" s="170">
        <v>0</v>
      </c>
      <c r="AA262" s="168">
        <v>0</v>
      </c>
      <c r="AB262" s="167">
        <v>6401016</v>
      </c>
    </row>
    <row r="263" spans="1:28" ht="15">
      <c r="A263" s="164">
        <v>484</v>
      </c>
      <c r="B263" s="168">
        <v>648.20000000000005</v>
      </c>
      <c r="C263" s="175">
        <v>7.5</v>
      </c>
      <c r="D263" s="166">
        <v>62.8</v>
      </c>
      <c r="E263" s="55"/>
      <c r="F263" s="166">
        <v>0</v>
      </c>
      <c r="G263" s="55"/>
      <c r="H263" s="165">
        <v>298</v>
      </c>
      <c r="I263" s="55"/>
      <c r="J263" s="55"/>
      <c r="K263" s="55"/>
      <c r="L263" s="166">
        <v>0</v>
      </c>
      <c r="M263" s="55"/>
      <c r="N263" s="55"/>
      <c r="O263" s="168">
        <v>230</v>
      </c>
      <c r="P263" s="55"/>
      <c r="Q263" s="55"/>
      <c r="R263" s="55"/>
      <c r="S263" s="55"/>
      <c r="T263" s="170">
        <v>1</v>
      </c>
      <c r="U263" s="169">
        <v>0</v>
      </c>
      <c r="V263" s="171">
        <v>0</v>
      </c>
      <c r="W263" s="55"/>
      <c r="X263" s="172">
        <v>0</v>
      </c>
      <c r="Y263" s="55"/>
      <c r="Z263" s="170">
        <v>0</v>
      </c>
      <c r="AA263" s="168">
        <v>0</v>
      </c>
      <c r="AB263" s="167">
        <v>5050040</v>
      </c>
    </row>
    <row r="264" spans="1:28" ht="15">
      <c r="A264" s="164">
        <v>487</v>
      </c>
      <c r="B264" s="168">
        <v>445</v>
      </c>
      <c r="C264" s="175">
        <v>5.5</v>
      </c>
      <c r="D264" s="166">
        <v>161.30000000000001</v>
      </c>
      <c r="E264" s="55"/>
      <c r="F264" s="166">
        <v>0</v>
      </c>
      <c r="G264" s="55"/>
      <c r="H264" s="165">
        <v>239</v>
      </c>
      <c r="I264" s="55"/>
      <c r="J264" s="55"/>
      <c r="K264" s="55"/>
      <c r="L264" s="166">
        <v>0</v>
      </c>
      <c r="M264" s="55"/>
      <c r="N264" s="55"/>
      <c r="O264" s="168">
        <v>67</v>
      </c>
      <c r="P264" s="55"/>
      <c r="Q264" s="55"/>
      <c r="R264" s="55"/>
      <c r="S264" s="55"/>
      <c r="T264" s="170">
        <v>6.4</v>
      </c>
      <c r="U264" s="169">
        <v>0</v>
      </c>
      <c r="V264" s="171">
        <v>0</v>
      </c>
      <c r="W264" s="55"/>
      <c r="X264" s="172">
        <v>0</v>
      </c>
      <c r="Y264" s="55"/>
      <c r="Z264" s="170">
        <v>8</v>
      </c>
      <c r="AA264" s="168">
        <v>0</v>
      </c>
      <c r="AB264" s="167">
        <v>3784268</v>
      </c>
    </row>
    <row r="265" spans="1:28" ht="15">
      <c r="A265" s="164">
        <v>489</v>
      </c>
      <c r="B265" s="168">
        <v>2758</v>
      </c>
      <c r="C265" s="175">
        <v>20</v>
      </c>
      <c r="D265" s="166">
        <v>481.7</v>
      </c>
      <c r="E265" s="55"/>
      <c r="F265" s="166">
        <v>572.6</v>
      </c>
      <c r="G265" s="55"/>
      <c r="H265" s="165">
        <v>906</v>
      </c>
      <c r="I265" s="55"/>
      <c r="J265" s="55"/>
      <c r="K265" s="55"/>
      <c r="L265" s="166">
        <v>154.30000000000001</v>
      </c>
      <c r="M265" s="55"/>
      <c r="N265" s="55"/>
      <c r="O265" s="168">
        <v>616.5</v>
      </c>
      <c r="P265" s="55"/>
      <c r="Q265" s="55"/>
      <c r="R265" s="55"/>
      <c r="S265" s="55"/>
      <c r="T265" s="170">
        <v>42.6</v>
      </c>
      <c r="U265" s="169">
        <v>0</v>
      </c>
      <c r="V265" s="171">
        <v>0</v>
      </c>
      <c r="W265" s="55"/>
      <c r="X265" s="172">
        <v>0</v>
      </c>
      <c r="Y265" s="55"/>
      <c r="Z265" s="170">
        <v>0</v>
      </c>
      <c r="AA265" s="168">
        <v>0</v>
      </c>
      <c r="AB265" s="167">
        <v>17921157</v>
      </c>
    </row>
    <row r="266" spans="1:28" ht="15">
      <c r="A266" s="164">
        <v>490</v>
      </c>
      <c r="B266" s="168">
        <v>1856.5</v>
      </c>
      <c r="C266" s="175">
        <v>16</v>
      </c>
      <c r="D266" s="166">
        <v>273.7</v>
      </c>
      <c r="E266" s="55"/>
      <c r="F266" s="166">
        <v>23.4</v>
      </c>
      <c r="G266" s="55"/>
      <c r="H266" s="165">
        <v>877</v>
      </c>
      <c r="I266" s="55"/>
      <c r="J266" s="55"/>
      <c r="K266" s="55"/>
      <c r="L266" s="166">
        <v>344.5</v>
      </c>
      <c r="M266" s="55"/>
      <c r="N266" s="55"/>
      <c r="O266" s="168">
        <v>422</v>
      </c>
      <c r="P266" s="55"/>
      <c r="Q266" s="55"/>
      <c r="R266" s="55"/>
      <c r="S266" s="55"/>
      <c r="T266" s="170">
        <v>7.8</v>
      </c>
      <c r="U266" s="169">
        <v>0</v>
      </c>
      <c r="V266" s="171">
        <v>0</v>
      </c>
      <c r="W266" s="55"/>
      <c r="X266" s="172">
        <v>0</v>
      </c>
      <c r="Y266" s="55"/>
      <c r="Z266" s="170">
        <v>0</v>
      </c>
      <c r="AA266" s="168">
        <v>0</v>
      </c>
      <c r="AB266" s="167">
        <v>11816434</v>
      </c>
    </row>
    <row r="267" spans="1:28" ht="15">
      <c r="A267" s="164">
        <v>491</v>
      </c>
      <c r="B267" s="168">
        <v>1574.4</v>
      </c>
      <c r="C267" s="175">
        <v>0</v>
      </c>
      <c r="D267" s="166">
        <v>488.6</v>
      </c>
      <c r="E267" s="55"/>
      <c r="F267" s="166">
        <v>21.6</v>
      </c>
      <c r="G267" s="55"/>
      <c r="H267" s="165">
        <v>464</v>
      </c>
      <c r="I267" s="55"/>
      <c r="J267" s="55"/>
      <c r="K267" s="55"/>
      <c r="L267" s="166">
        <v>0</v>
      </c>
      <c r="M267" s="55"/>
      <c r="N267" s="55"/>
      <c r="O267" s="168">
        <v>153</v>
      </c>
      <c r="P267" s="55"/>
      <c r="Q267" s="55"/>
      <c r="R267" s="55"/>
      <c r="S267" s="55"/>
      <c r="T267" s="170">
        <v>0</v>
      </c>
      <c r="U267" s="169">
        <v>0</v>
      </c>
      <c r="V267" s="171">
        <v>0</v>
      </c>
      <c r="W267" s="55"/>
      <c r="X267" s="172">
        <v>0</v>
      </c>
      <c r="Y267" s="55"/>
      <c r="Z267" s="170">
        <v>0</v>
      </c>
      <c r="AA267" s="168">
        <v>0</v>
      </c>
      <c r="AB267" s="167">
        <v>9217341</v>
      </c>
    </row>
    <row r="268" spans="1:28" ht="15">
      <c r="A268" s="164">
        <v>492</v>
      </c>
      <c r="B268" s="168">
        <v>264.89999999999998</v>
      </c>
      <c r="C268" s="175">
        <v>0</v>
      </c>
      <c r="D268" s="166">
        <v>107.4</v>
      </c>
      <c r="E268" s="55"/>
      <c r="F268" s="166">
        <v>1.2</v>
      </c>
      <c r="G268" s="55"/>
      <c r="H268" s="165">
        <v>93</v>
      </c>
      <c r="I268" s="55"/>
      <c r="J268" s="55"/>
      <c r="K268" s="55"/>
      <c r="L268" s="166">
        <v>0</v>
      </c>
      <c r="M268" s="55"/>
      <c r="N268" s="55"/>
      <c r="O268" s="168">
        <v>153</v>
      </c>
      <c r="P268" s="55"/>
      <c r="Q268" s="55"/>
      <c r="R268" s="55"/>
      <c r="S268" s="55"/>
      <c r="T268" s="170">
        <v>18.2</v>
      </c>
      <c r="U268" s="169">
        <v>0</v>
      </c>
      <c r="V268" s="171">
        <v>0</v>
      </c>
      <c r="W268" s="55"/>
      <c r="X268" s="172">
        <v>0</v>
      </c>
      <c r="Y268" s="55"/>
      <c r="Z268" s="170">
        <v>0</v>
      </c>
      <c r="AA268" s="168">
        <v>0</v>
      </c>
      <c r="AB268" s="167">
        <v>2462077</v>
      </c>
    </row>
    <row r="269" spans="1:28" ht="15">
      <c r="A269" s="164">
        <v>493</v>
      </c>
      <c r="B269" s="168">
        <v>972.5</v>
      </c>
      <c r="C269" s="175">
        <v>15</v>
      </c>
      <c r="D269" s="166">
        <v>255</v>
      </c>
      <c r="E269" s="55"/>
      <c r="F269" s="166">
        <v>6</v>
      </c>
      <c r="G269" s="55"/>
      <c r="H269" s="165">
        <v>479</v>
      </c>
      <c r="I269" s="55"/>
      <c r="J269" s="55"/>
      <c r="K269" s="55"/>
      <c r="L269" s="166">
        <v>0</v>
      </c>
      <c r="M269" s="55"/>
      <c r="N269" s="55"/>
      <c r="O269" s="168">
        <v>369.5</v>
      </c>
      <c r="P269" s="55"/>
      <c r="Q269" s="55"/>
      <c r="R269" s="55"/>
      <c r="S269" s="55"/>
      <c r="T269" s="170">
        <v>0</v>
      </c>
      <c r="U269" s="169">
        <v>0</v>
      </c>
      <c r="V269" s="171">
        <v>0</v>
      </c>
      <c r="W269" s="55"/>
      <c r="X269" s="172">
        <v>0</v>
      </c>
      <c r="Y269" s="55"/>
      <c r="Z269" s="170">
        <v>0</v>
      </c>
      <c r="AA269" s="168">
        <v>0</v>
      </c>
      <c r="AB269" s="167">
        <v>7503674</v>
      </c>
    </row>
    <row r="270" spans="1:28" ht="15">
      <c r="A270" s="164">
        <v>494</v>
      </c>
      <c r="B270" s="168">
        <v>470.5</v>
      </c>
      <c r="C270" s="175">
        <v>10</v>
      </c>
      <c r="D270" s="166">
        <v>63.3</v>
      </c>
      <c r="E270" s="55"/>
      <c r="F270" s="166">
        <v>1066.8</v>
      </c>
      <c r="G270" s="55"/>
      <c r="H270" s="165">
        <v>271</v>
      </c>
      <c r="I270" s="55"/>
      <c r="J270" s="55"/>
      <c r="K270" s="55"/>
      <c r="L270" s="166">
        <v>0</v>
      </c>
      <c r="M270" s="55"/>
      <c r="N270" s="55"/>
      <c r="O270" s="168">
        <v>80</v>
      </c>
      <c r="P270" s="55"/>
      <c r="Q270" s="55"/>
      <c r="R270" s="55"/>
      <c r="S270" s="55"/>
      <c r="T270" s="170">
        <v>0</v>
      </c>
      <c r="U270" s="169">
        <v>0</v>
      </c>
      <c r="V270" s="171">
        <v>0</v>
      </c>
      <c r="W270" s="55"/>
      <c r="X270" s="172">
        <v>0</v>
      </c>
      <c r="Y270" s="55"/>
      <c r="Z270" s="170">
        <v>0</v>
      </c>
      <c r="AA270" s="168">
        <v>0</v>
      </c>
      <c r="AB270" s="167">
        <v>3914760</v>
      </c>
    </row>
    <row r="271" spans="1:28" ht="15">
      <c r="A271" s="164">
        <v>495</v>
      </c>
      <c r="B271" s="168">
        <v>914</v>
      </c>
      <c r="C271" s="175">
        <v>14.5</v>
      </c>
      <c r="D271" s="166">
        <v>328.2</v>
      </c>
      <c r="E271" s="55"/>
      <c r="F271" s="166">
        <v>16.3</v>
      </c>
      <c r="G271" s="55"/>
      <c r="H271" s="165">
        <v>429</v>
      </c>
      <c r="I271" s="55"/>
      <c r="J271" s="55"/>
      <c r="K271" s="55"/>
      <c r="L271" s="166">
        <v>0</v>
      </c>
      <c r="M271" s="55"/>
      <c r="N271" s="55"/>
      <c r="O271" s="168">
        <v>226</v>
      </c>
      <c r="P271" s="55"/>
      <c r="Q271" s="55"/>
      <c r="R271" s="55"/>
      <c r="S271" s="55"/>
      <c r="T271" s="170">
        <v>0</v>
      </c>
      <c r="U271" s="169">
        <v>0</v>
      </c>
      <c r="V271" s="171">
        <v>0</v>
      </c>
      <c r="W271" s="55"/>
      <c r="X271" s="172">
        <v>0</v>
      </c>
      <c r="Y271" s="55"/>
      <c r="Z271" s="170">
        <v>0</v>
      </c>
      <c r="AA271" s="168">
        <v>0</v>
      </c>
      <c r="AB271" s="167">
        <v>7075737</v>
      </c>
    </row>
    <row r="272" spans="1:28" ht="15">
      <c r="A272" s="164">
        <v>496</v>
      </c>
      <c r="B272" s="168">
        <v>113</v>
      </c>
      <c r="C272" s="175">
        <v>0.5</v>
      </c>
      <c r="D272" s="166">
        <v>2.8</v>
      </c>
      <c r="E272" s="55"/>
      <c r="F272" s="166">
        <v>13.4</v>
      </c>
      <c r="G272" s="55"/>
      <c r="H272" s="165">
        <v>41</v>
      </c>
      <c r="I272" s="55"/>
      <c r="J272" s="55"/>
      <c r="K272" s="55"/>
      <c r="L272" s="166">
        <v>0</v>
      </c>
      <c r="M272" s="55"/>
      <c r="N272" s="55"/>
      <c r="O272" s="168">
        <v>49</v>
      </c>
      <c r="P272" s="55"/>
      <c r="Q272" s="55"/>
      <c r="R272" s="55"/>
      <c r="S272" s="55"/>
      <c r="T272" s="170">
        <v>62.7</v>
      </c>
      <c r="U272" s="169">
        <v>0</v>
      </c>
      <c r="V272" s="171">
        <v>0</v>
      </c>
      <c r="W272" s="55"/>
      <c r="X272" s="172">
        <v>0</v>
      </c>
      <c r="Y272" s="55"/>
      <c r="Z272" s="170">
        <v>0</v>
      </c>
      <c r="AA272" s="168">
        <v>0</v>
      </c>
      <c r="AB272" s="167">
        <v>1659320</v>
      </c>
    </row>
    <row r="273" spans="1:28" ht="15">
      <c r="A273" s="164">
        <v>497</v>
      </c>
      <c r="B273" s="168">
        <v>9995.4</v>
      </c>
      <c r="C273" s="175">
        <v>35</v>
      </c>
      <c r="D273" s="166">
        <v>2033.5</v>
      </c>
      <c r="E273" s="55"/>
      <c r="F273" s="166">
        <v>2467.8000000000002</v>
      </c>
      <c r="G273" s="55"/>
      <c r="H273" s="165">
        <v>3454</v>
      </c>
      <c r="I273" s="55"/>
      <c r="J273" s="55"/>
      <c r="K273" s="55"/>
      <c r="L273" s="166">
        <v>0</v>
      </c>
      <c r="M273" s="55"/>
      <c r="N273" s="55"/>
      <c r="O273" s="168">
        <v>2286</v>
      </c>
      <c r="P273" s="55"/>
      <c r="Q273" s="55"/>
      <c r="R273" s="55"/>
      <c r="S273" s="55"/>
      <c r="T273" s="170">
        <v>1351</v>
      </c>
      <c r="U273" s="169">
        <v>175</v>
      </c>
      <c r="V273" s="171">
        <v>3</v>
      </c>
      <c r="W273" s="55"/>
      <c r="X273" s="172">
        <v>2</v>
      </c>
      <c r="Y273" s="55"/>
      <c r="Z273" s="170">
        <v>0</v>
      </c>
      <c r="AA273" s="168">
        <v>0</v>
      </c>
      <c r="AB273" s="167">
        <v>68468769</v>
      </c>
    </row>
    <row r="274" spans="1:28" ht="15">
      <c r="A274" s="164">
        <v>498</v>
      </c>
      <c r="B274" s="168">
        <v>391.3</v>
      </c>
      <c r="C274" s="175">
        <v>5</v>
      </c>
      <c r="D274" s="166">
        <v>93.1</v>
      </c>
      <c r="E274" s="55"/>
      <c r="F274" s="166">
        <v>0</v>
      </c>
      <c r="G274" s="55"/>
      <c r="H274" s="165">
        <v>174</v>
      </c>
      <c r="I274" s="55"/>
      <c r="J274" s="55"/>
      <c r="K274" s="55"/>
      <c r="L274" s="166">
        <v>0</v>
      </c>
      <c r="M274" s="55"/>
      <c r="N274" s="55"/>
      <c r="O274" s="168">
        <v>239</v>
      </c>
      <c r="P274" s="55"/>
      <c r="Q274" s="55"/>
      <c r="R274" s="55"/>
      <c r="S274" s="55"/>
      <c r="T274" s="170">
        <v>0</v>
      </c>
      <c r="U274" s="169">
        <v>0</v>
      </c>
      <c r="V274" s="171">
        <v>0</v>
      </c>
      <c r="W274" s="55"/>
      <c r="X274" s="172">
        <v>0</v>
      </c>
      <c r="Y274" s="55"/>
      <c r="Z274" s="170">
        <v>0</v>
      </c>
      <c r="AA274" s="168">
        <v>0</v>
      </c>
      <c r="AB274" s="167">
        <v>3123748</v>
      </c>
    </row>
    <row r="275" spans="1:28" ht="15">
      <c r="A275" s="164">
        <v>499</v>
      </c>
      <c r="B275" s="168">
        <v>800.2</v>
      </c>
      <c r="C275" s="175">
        <v>13</v>
      </c>
      <c r="D275" s="166">
        <v>246.9</v>
      </c>
      <c r="E275" s="55"/>
      <c r="F275" s="166">
        <v>0</v>
      </c>
      <c r="G275" s="55"/>
      <c r="H275" s="165">
        <v>531</v>
      </c>
      <c r="I275" s="55"/>
      <c r="J275" s="55"/>
      <c r="K275" s="55"/>
      <c r="L275" s="166">
        <v>0</v>
      </c>
      <c r="M275" s="55"/>
      <c r="N275" s="55"/>
      <c r="O275" s="168">
        <v>22</v>
      </c>
      <c r="P275" s="55"/>
      <c r="Q275" s="55"/>
      <c r="R275" s="55"/>
      <c r="S275" s="55"/>
      <c r="T275" s="170">
        <v>0</v>
      </c>
      <c r="U275" s="169">
        <v>0</v>
      </c>
      <c r="V275" s="171">
        <v>0</v>
      </c>
      <c r="W275" s="55"/>
      <c r="X275" s="172">
        <v>0</v>
      </c>
      <c r="Y275" s="55"/>
      <c r="Z275" s="170">
        <v>0</v>
      </c>
      <c r="AA275" s="168">
        <v>0</v>
      </c>
      <c r="AB275" s="167">
        <v>5886724</v>
      </c>
    </row>
    <row r="276" spans="1:28" ht="15">
      <c r="A276" s="164">
        <v>500</v>
      </c>
      <c r="B276" s="168">
        <v>19824.8</v>
      </c>
      <c r="C276" s="175">
        <v>285</v>
      </c>
      <c r="D276" s="166">
        <v>2739.7</v>
      </c>
      <c r="E276" s="55"/>
      <c r="F276" s="166">
        <v>24653.1</v>
      </c>
      <c r="G276" s="55"/>
      <c r="H276" s="165">
        <v>17817</v>
      </c>
      <c r="I276" s="55"/>
      <c r="J276" s="55"/>
      <c r="K276" s="55"/>
      <c r="L276" s="166">
        <v>299.39999999999998</v>
      </c>
      <c r="M276" s="55"/>
      <c r="N276" s="55"/>
      <c r="O276" s="168">
        <v>4013</v>
      </c>
      <c r="P276" s="55"/>
      <c r="Q276" s="55"/>
      <c r="R276" s="55"/>
      <c r="S276" s="55"/>
      <c r="T276" s="170">
        <v>0</v>
      </c>
      <c r="U276" s="169">
        <v>0</v>
      </c>
      <c r="V276" s="171">
        <v>0</v>
      </c>
      <c r="W276" s="55"/>
      <c r="X276" s="172">
        <v>0</v>
      </c>
      <c r="Y276" s="55"/>
      <c r="Z276" s="170">
        <v>0</v>
      </c>
      <c r="AA276" s="168">
        <v>0</v>
      </c>
      <c r="AB276" s="167">
        <v>138205996</v>
      </c>
    </row>
    <row r="277" spans="1:28" ht="15">
      <c r="A277" s="164">
        <v>501</v>
      </c>
      <c r="B277" s="168">
        <v>12864.5</v>
      </c>
      <c r="C277" s="175">
        <v>102.5</v>
      </c>
      <c r="D277" s="166">
        <v>1236.0999999999999</v>
      </c>
      <c r="E277" s="55"/>
      <c r="F277" s="166">
        <v>2244.3000000000002</v>
      </c>
      <c r="G277" s="55"/>
      <c r="H277" s="165">
        <v>9632</v>
      </c>
      <c r="I277" s="55"/>
      <c r="J277" s="55"/>
      <c r="K277" s="55"/>
      <c r="L277" s="166">
        <v>380.7</v>
      </c>
      <c r="M277" s="55"/>
      <c r="N277" s="55"/>
      <c r="O277" s="168">
        <v>1603</v>
      </c>
      <c r="P277" s="55"/>
      <c r="Q277" s="55"/>
      <c r="R277" s="55"/>
      <c r="S277" s="55"/>
      <c r="T277" s="170">
        <v>234.4</v>
      </c>
      <c r="U277" s="169">
        <v>0</v>
      </c>
      <c r="V277" s="171">
        <v>0</v>
      </c>
      <c r="W277" s="55"/>
      <c r="X277" s="172">
        <v>2</v>
      </c>
      <c r="Y277" s="55"/>
      <c r="Z277" s="170">
        <v>0</v>
      </c>
      <c r="AA277" s="168">
        <v>0</v>
      </c>
      <c r="AB277" s="167">
        <v>92309873</v>
      </c>
    </row>
    <row r="278" spans="1:28" ht="15">
      <c r="A278" s="164">
        <v>502</v>
      </c>
      <c r="B278" s="168">
        <v>98.5</v>
      </c>
      <c r="C278" s="175">
        <v>1</v>
      </c>
      <c r="D278" s="166">
        <v>6.7</v>
      </c>
      <c r="E278" s="55"/>
      <c r="F278" s="166">
        <v>18.3</v>
      </c>
      <c r="G278" s="55"/>
      <c r="H278" s="165">
        <v>37</v>
      </c>
      <c r="I278" s="55"/>
      <c r="J278" s="55"/>
      <c r="K278" s="55"/>
      <c r="L278" s="166">
        <v>0</v>
      </c>
      <c r="M278" s="55"/>
      <c r="N278" s="55"/>
      <c r="O278" s="168">
        <v>40</v>
      </c>
      <c r="P278" s="55"/>
      <c r="Q278" s="55"/>
      <c r="R278" s="55"/>
      <c r="S278" s="55"/>
      <c r="T278" s="170">
        <v>0</v>
      </c>
      <c r="U278" s="169">
        <v>0</v>
      </c>
      <c r="V278" s="171">
        <v>0</v>
      </c>
      <c r="W278" s="55"/>
      <c r="X278" s="172">
        <v>0</v>
      </c>
      <c r="Y278" s="55"/>
      <c r="Z278" s="170">
        <v>0</v>
      </c>
      <c r="AA278" s="168">
        <v>0</v>
      </c>
      <c r="AB278" s="167">
        <v>1169055</v>
      </c>
    </row>
    <row r="279" spans="1:28" ht="15">
      <c r="A279" s="164">
        <v>503</v>
      </c>
      <c r="B279" s="168">
        <v>1231</v>
      </c>
      <c r="C279" s="175">
        <v>13</v>
      </c>
      <c r="D279" s="166">
        <v>347.9</v>
      </c>
      <c r="E279" s="55"/>
      <c r="F279" s="166">
        <v>0.6</v>
      </c>
      <c r="G279" s="55"/>
      <c r="H279" s="165">
        <v>775</v>
      </c>
      <c r="I279" s="55"/>
      <c r="J279" s="55"/>
      <c r="K279" s="55"/>
      <c r="L279" s="166">
        <v>0</v>
      </c>
      <c r="M279" s="55"/>
      <c r="N279" s="55"/>
      <c r="O279" s="168">
        <v>16</v>
      </c>
      <c r="P279" s="55"/>
      <c r="Q279" s="55"/>
      <c r="R279" s="55"/>
      <c r="S279" s="55"/>
      <c r="T279" s="170">
        <v>0</v>
      </c>
      <c r="U279" s="169">
        <v>0</v>
      </c>
      <c r="V279" s="171">
        <v>0</v>
      </c>
      <c r="W279" s="55"/>
      <c r="X279" s="172">
        <v>0</v>
      </c>
      <c r="Y279" s="55"/>
      <c r="Z279" s="170">
        <v>0</v>
      </c>
      <c r="AA279" s="168">
        <v>0</v>
      </c>
      <c r="AB279" s="167">
        <v>8442065</v>
      </c>
    </row>
    <row r="280" spans="1:28" ht="15">
      <c r="A280" s="164">
        <v>504</v>
      </c>
      <c r="B280" s="168">
        <v>457.7</v>
      </c>
      <c r="C280" s="175">
        <v>3.5</v>
      </c>
      <c r="D280" s="166">
        <v>59.9</v>
      </c>
      <c r="E280" s="55"/>
      <c r="F280" s="166">
        <v>0</v>
      </c>
      <c r="G280" s="55"/>
      <c r="H280" s="165">
        <v>225</v>
      </c>
      <c r="I280" s="55"/>
      <c r="J280" s="55"/>
      <c r="K280" s="55"/>
      <c r="L280" s="166">
        <v>0</v>
      </c>
      <c r="M280" s="55"/>
      <c r="N280" s="55"/>
      <c r="O280" s="168">
        <v>18</v>
      </c>
      <c r="P280" s="55"/>
      <c r="Q280" s="55"/>
      <c r="R280" s="55"/>
      <c r="S280" s="55"/>
      <c r="T280" s="170">
        <v>0</v>
      </c>
      <c r="U280" s="169">
        <v>0</v>
      </c>
      <c r="V280" s="171">
        <v>0</v>
      </c>
      <c r="W280" s="55"/>
      <c r="X280" s="172">
        <v>0</v>
      </c>
      <c r="Y280" s="55"/>
      <c r="Z280" s="170">
        <v>0</v>
      </c>
      <c r="AA280" s="168">
        <v>0</v>
      </c>
      <c r="AB280" s="167">
        <v>3556291</v>
      </c>
    </row>
    <row r="281" spans="1:28" ht="15">
      <c r="A281" s="164">
        <v>505</v>
      </c>
      <c r="B281" s="168">
        <v>443.5</v>
      </c>
      <c r="C281" s="175">
        <v>5.5</v>
      </c>
      <c r="D281" s="166">
        <v>147.6</v>
      </c>
      <c r="E281" s="55"/>
      <c r="F281" s="166">
        <v>0</v>
      </c>
      <c r="G281" s="55"/>
      <c r="H281" s="165">
        <v>238</v>
      </c>
      <c r="I281" s="55"/>
      <c r="J281" s="55"/>
      <c r="K281" s="55"/>
      <c r="L281" s="166">
        <v>0</v>
      </c>
      <c r="M281" s="55"/>
      <c r="N281" s="55"/>
      <c r="O281" s="168">
        <v>38</v>
      </c>
      <c r="P281" s="55"/>
      <c r="Q281" s="55"/>
      <c r="R281" s="55"/>
      <c r="S281" s="55"/>
      <c r="T281" s="170">
        <v>7.7</v>
      </c>
      <c r="U281" s="169">
        <v>0</v>
      </c>
      <c r="V281" s="171">
        <v>0</v>
      </c>
      <c r="W281" s="55"/>
      <c r="X281" s="172">
        <v>0</v>
      </c>
      <c r="Y281" s="55"/>
      <c r="Z281" s="170">
        <v>0</v>
      </c>
      <c r="AA281" s="168">
        <v>0</v>
      </c>
      <c r="AB281" s="167">
        <v>3740131</v>
      </c>
    </row>
    <row r="282" spans="1:28" ht="15">
      <c r="A282" s="164">
        <v>506</v>
      </c>
      <c r="B282" s="168">
        <v>1460.8</v>
      </c>
      <c r="C282" s="175">
        <v>18.5</v>
      </c>
      <c r="D282" s="166">
        <v>691.2</v>
      </c>
      <c r="E282" s="55"/>
      <c r="F282" s="166">
        <v>0</v>
      </c>
      <c r="G282" s="55"/>
      <c r="H282" s="165">
        <v>626</v>
      </c>
      <c r="I282" s="55"/>
      <c r="J282" s="55"/>
      <c r="K282" s="55"/>
      <c r="L282" s="166">
        <v>35</v>
      </c>
      <c r="M282" s="55"/>
      <c r="N282" s="55"/>
      <c r="O282" s="168">
        <v>661</v>
      </c>
      <c r="P282" s="55"/>
      <c r="Q282" s="55"/>
      <c r="R282" s="55"/>
      <c r="S282" s="55"/>
      <c r="T282" s="170">
        <v>0</v>
      </c>
      <c r="U282" s="169">
        <v>0</v>
      </c>
      <c r="V282" s="171">
        <v>0</v>
      </c>
      <c r="W282" s="55"/>
      <c r="X282" s="172">
        <v>0</v>
      </c>
      <c r="Y282" s="55"/>
      <c r="Z282" s="170">
        <v>0</v>
      </c>
      <c r="AA282" s="168">
        <v>0</v>
      </c>
      <c r="AB282" s="167">
        <v>10237481</v>
      </c>
    </row>
    <row r="283" spans="1:28" ht="15">
      <c r="A283" s="164">
        <v>507</v>
      </c>
      <c r="B283" s="168">
        <v>287</v>
      </c>
      <c r="C283" s="175">
        <v>8</v>
      </c>
      <c r="D283" s="166">
        <v>80.3</v>
      </c>
      <c r="E283" s="55"/>
      <c r="F283" s="166">
        <v>845.9</v>
      </c>
      <c r="G283" s="55"/>
      <c r="H283" s="165">
        <v>174</v>
      </c>
      <c r="I283" s="55"/>
      <c r="J283" s="55"/>
      <c r="K283" s="55"/>
      <c r="L283" s="166">
        <v>0</v>
      </c>
      <c r="M283" s="55"/>
      <c r="N283" s="55"/>
      <c r="O283" s="168">
        <v>54</v>
      </c>
      <c r="P283" s="55"/>
      <c r="Q283" s="55"/>
      <c r="R283" s="55"/>
      <c r="S283" s="55"/>
      <c r="T283" s="170">
        <v>0</v>
      </c>
      <c r="U283" s="169">
        <v>0</v>
      </c>
      <c r="V283" s="171">
        <v>0</v>
      </c>
      <c r="W283" s="55"/>
      <c r="X283" s="172">
        <v>0</v>
      </c>
      <c r="Y283" s="55"/>
      <c r="Z283" s="170">
        <v>0</v>
      </c>
      <c r="AA283" s="168">
        <v>0</v>
      </c>
      <c r="AB283" s="167">
        <v>2592560</v>
      </c>
    </row>
    <row r="284" spans="1:28" ht="15">
      <c r="A284" s="164">
        <v>508</v>
      </c>
      <c r="B284" s="168">
        <v>944</v>
      </c>
      <c r="C284" s="175">
        <v>15</v>
      </c>
      <c r="D284" s="166">
        <v>293.10000000000002</v>
      </c>
      <c r="E284" s="55"/>
      <c r="F284" s="166">
        <v>9</v>
      </c>
      <c r="G284" s="55"/>
      <c r="H284" s="165">
        <v>526</v>
      </c>
      <c r="I284" s="55"/>
      <c r="J284" s="55"/>
      <c r="K284" s="55"/>
      <c r="L284" s="166">
        <v>0</v>
      </c>
      <c r="M284" s="55"/>
      <c r="N284" s="55"/>
      <c r="O284" s="168">
        <v>123</v>
      </c>
      <c r="P284" s="55"/>
      <c r="Q284" s="55"/>
      <c r="R284" s="55"/>
      <c r="S284" s="55"/>
      <c r="T284" s="170">
        <v>19.5</v>
      </c>
      <c r="U284" s="169">
        <v>0</v>
      </c>
      <c r="V284" s="171">
        <v>0</v>
      </c>
      <c r="W284" s="55"/>
      <c r="X284" s="172">
        <v>0</v>
      </c>
      <c r="Y284" s="55"/>
      <c r="Z284" s="170">
        <v>0</v>
      </c>
      <c r="AA284" s="168">
        <v>0</v>
      </c>
      <c r="AB284" s="167">
        <v>7154416</v>
      </c>
    </row>
    <row r="285" spans="1:28" ht="15">
      <c r="A285" s="164">
        <v>509</v>
      </c>
      <c r="B285" s="168">
        <v>171.5</v>
      </c>
      <c r="C285" s="175">
        <v>1.5</v>
      </c>
      <c r="D285" s="166">
        <v>37.799999999999997</v>
      </c>
      <c r="E285" s="55"/>
      <c r="F285" s="166">
        <v>0</v>
      </c>
      <c r="G285" s="55"/>
      <c r="H285" s="165">
        <v>52</v>
      </c>
      <c r="I285" s="55"/>
      <c r="J285" s="55"/>
      <c r="K285" s="55"/>
      <c r="L285" s="166">
        <v>0</v>
      </c>
      <c r="M285" s="55"/>
      <c r="N285" s="55"/>
      <c r="O285" s="168">
        <v>80</v>
      </c>
      <c r="P285" s="55"/>
      <c r="Q285" s="55"/>
      <c r="R285" s="55"/>
      <c r="S285" s="55"/>
      <c r="T285" s="170">
        <v>0</v>
      </c>
      <c r="U285" s="169">
        <v>0</v>
      </c>
      <c r="V285" s="171">
        <v>0</v>
      </c>
      <c r="W285" s="55"/>
      <c r="X285" s="172">
        <v>0</v>
      </c>
      <c r="Y285" s="55"/>
      <c r="Z285" s="170">
        <v>0</v>
      </c>
      <c r="AA285" s="168">
        <v>0</v>
      </c>
      <c r="AB285" s="167">
        <v>1814223</v>
      </c>
    </row>
    <row r="286" spans="1:28" ht="15">
      <c r="A286" s="164">
        <v>511</v>
      </c>
      <c r="B286" s="168">
        <v>157.5</v>
      </c>
      <c r="C286" s="175">
        <v>0</v>
      </c>
      <c r="D286" s="166">
        <v>0</v>
      </c>
      <c r="E286" s="55"/>
      <c r="F286" s="166">
        <v>0</v>
      </c>
      <c r="G286" s="55"/>
      <c r="H286" s="165">
        <v>52</v>
      </c>
      <c r="I286" s="55"/>
      <c r="J286" s="55"/>
      <c r="K286" s="55"/>
      <c r="L286" s="166">
        <v>0</v>
      </c>
      <c r="M286" s="55"/>
      <c r="N286" s="55"/>
      <c r="O286" s="168">
        <v>16.5</v>
      </c>
      <c r="P286" s="55"/>
      <c r="Q286" s="55"/>
      <c r="R286" s="55"/>
      <c r="S286" s="55"/>
      <c r="T286" s="170">
        <v>0</v>
      </c>
      <c r="U286" s="169">
        <v>0</v>
      </c>
      <c r="V286" s="171">
        <v>0</v>
      </c>
      <c r="W286" s="55"/>
      <c r="X286" s="172">
        <v>0</v>
      </c>
      <c r="Y286" s="55"/>
      <c r="Z286" s="170">
        <v>0</v>
      </c>
      <c r="AA286" s="168">
        <v>0</v>
      </c>
      <c r="AB286" s="167">
        <v>1487376</v>
      </c>
    </row>
    <row r="287" spans="1:28" ht="15">
      <c r="A287" s="164">
        <v>512</v>
      </c>
      <c r="B287" s="168">
        <v>26112.6</v>
      </c>
      <c r="C287" s="175">
        <v>53</v>
      </c>
      <c r="D287" s="166">
        <v>3747</v>
      </c>
      <c r="E287" s="55"/>
      <c r="F287" s="166">
        <v>6954.2</v>
      </c>
      <c r="G287" s="55"/>
      <c r="H287" s="165">
        <v>8080</v>
      </c>
      <c r="I287" s="55"/>
      <c r="J287" s="55"/>
      <c r="K287" s="55"/>
      <c r="L287" s="166">
        <v>949.2</v>
      </c>
      <c r="M287" s="55"/>
      <c r="N287" s="55"/>
      <c r="O287" s="168">
        <v>5238</v>
      </c>
      <c r="P287" s="55"/>
      <c r="Q287" s="55"/>
      <c r="R287" s="55"/>
      <c r="S287" s="55"/>
      <c r="T287" s="170">
        <v>0</v>
      </c>
      <c r="U287" s="169">
        <v>0</v>
      </c>
      <c r="V287" s="171">
        <v>0</v>
      </c>
      <c r="W287" s="55"/>
      <c r="X287" s="172">
        <v>1</v>
      </c>
      <c r="Y287" s="55"/>
      <c r="Z287" s="170">
        <v>0</v>
      </c>
      <c r="AA287" s="168">
        <v>0</v>
      </c>
      <c r="AB287" s="167">
        <v>155198357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F287"/>
  <sheetViews>
    <sheetView workbookViewId="0">
      <pane xSplit="1" ySplit="1" topLeftCell="E257" activePane="bottomRight" state="frozen"/>
      <selection pane="topRight" activeCell="B1" sqref="B1"/>
      <selection pane="bottomLeft" activeCell="A2" sqref="A2"/>
      <selection pane="bottomRight" activeCell="G294" sqref="G294"/>
    </sheetView>
  </sheetViews>
  <sheetFormatPr defaultColWidth="9.140625" defaultRowHeight="12.75"/>
  <cols>
    <col min="1" max="24" width="9.140625" style="12"/>
    <col min="25" max="25" width="10.42578125" style="12" bestFit="1" customWidth="1"/>
    <col min="26" max="16384" width="9.140625" style="12"/>
  </cols>
  <sheetData>
    <row r="1" spans="1:32" ht="54" customHeight="1">
      <c r="A1" s="12" t="s">
        <v>0</v>
      </c>
      <c r="B1" s="12" t="s">
        <v>276</v>
      </c>
      <c r="C1" s="12" t="s">
        <v>296</v>
      </c>
      <c r="D1" s="12" t="s">
        <v>277</v>
      </c>
      <c r="E1" s="56" t="s">
        <v>290</v>
      </c>
      <c r="F1" s="12" t="s">
        <v>278</v>
      </c>
      <c r="G1" s="56" t="s">
        <v>291</v>
      </c>
      <c r="H1" s="12" t="s">
        <v>279</v>
      </c>
      <c r="I1" s="12" t="s">
        <v>280</v>
      </c>
      <c r="J1" s="12" t="s">
        <v>139</v>
      </c>
      <c r="K1" s="56" t="s">
        <v>294</v>
      </c>
      <c r="L1" s="12" t="s">
        <v>281</v>
      </c>
      <c r="M1" s="56" t="s">
        <v>293</v>
      </c>
      <c r="N1" s="56" t="s">
        <v>292</v>
      </c>
      <c r="O1" s="12" t="s">
        <v>282</v>
      </c>
      <c r="P1" s="12" t="s">
        <v>283</v>
      </c>
      <c r="Q1" s="12" t="s">
        <v>284</v>
      </c>
      <c r="R1" s="12" t="s">
        <v>285</v>
      </c>
      <c r="S1" s="56" t="s">
        <v>295</v>
      </c>
      <c r="T1" s="12" t="s">
        <v>286</v>
      </c>
      <c r="U1" s="12" t="s">
        <v>287</v>
      </c>
      <c r="V1" s="12" t="s">
        <v>288</v>
      </c>
      <c r="W1" s="12" t="s">
        <v>289</v>
      </c>
      <c r="X1" s="12" t="s">
        <v>275</v>
      </c>
      <c r="Y1" s="12" t="s">
        <v>613</v>
      </c>
      <c r="Z1" s="12" t="s">
        <v>583</v>
      </c>
      <c r="AA1" s="12" t="s">
        <v>916</v>
      </c>
      <c r="AB1" s="12" t="s">
        <v>929</v>
      </c>
      <c r="AC1" s="12" t="s">
        <v>614</v>
      </c>
      <c r="AD1" s="12" t="s">
        <v>246</v>
      </c>
      <c r="AE1" s="12" t="s">
        <v>615</v>
      </c>
      <c r="AF1" s="12" t="s">
        <v>921</v>
      </c>
    </row>
    <row r="2" spans="1:32">
      <c r="A2" s="131" t="s">
        <v>297</v>
      </c>
      <c r="B2" s="131">
        <v>509</v>
      </c>
      <c r="C2" s="131">
        <v>6</v>
      </c>
      <c r="D2" s="131">
        <v>105.8</v>
      </c>
      <c r="E2" s="131"/>
      <c r="F2" s="131">
        <v>12.6</v>
      </c>
      <c r="G2" s="131"/>
      <c r="H2" s="131">
        <v>259</v>
      </c>
      <c r="I2" s="131"/>
      <c r="J2" s="131">
        <v>34</v>
      </c>
      <c r="K2" s="131"/>
      <c r="L2" s="131">
        <v>16.2</v>
      </c>
      <c r="M2" s="131" t="s">
        <v>1</v>
      </c>
      <c r="N2" s="131"/>
      <c r="O2" s="131">
        <v>266</v>
      </c>
      <c r="P2" s="131">
        <v>40</v>
      </c>
      <c r="Q2" s="131">
        <v>47</v>
      </c>
      <c r="R2" s="131">
        <v>353</v>
      </c>
      <c r="S2" s="131"/>
      <c r="T2" s="131">
        <v>0</v>
      </c>
      <c r="U2" s="131">
        <v>0</v>
      </c>
      <c r="V2" s="131">
        <v>0</v>
      </c>
      <c r="W2" s="131">
        <v>0</v>
      </c>
      <c r="X2" s="131">
        <v>0</v>
      </c>
      <c r="Y2" s="132">
        <v>41611</v>
      </c>
      <c r="Z2" s="131"/>
      <c r="AA2" s="131"/>
      <c r="AB2" s="131" t="str">
        <f>IF(AA2&gt;0,C2+AA2, "")</f>
        <v/>
      </c>
      <c r="AC2" s="144">
        <v>1</v>
      </c>
      <c r="AD2" s="143" t="str">
        <f t="shared" ref="AD2" si="0">IF(Z2="", "A", "AM")</f>
        <v>A</v>
      </c>
      <c r="AE2" s="145">
        <f>B2-T2</f>
        <v>509</v>
      </c>
      <c r="AF2" s="12" t="b">
        <f t="shared" ref="AF2:AF65" si="1">COUNTIF(A:A,A2)&gt;1</f>
        <v>0</v>
      </c>
    </row>
    <row r="3" spans="1:32">
      <c r="A3" s="131" t="s">
        <v>299</v>
      </c>
      <c r="B3" s="131">
        <v>127</v>
      </c>
      <c r="C3" s="131">
        <v>0</v>
      </c>
      <c r="D3" s="131">
        <v>0</v>
      </c>
      <c r="E3" s="131"/>
      <c r="F3" s="131">
        <v>125.4</v>
      </c>
      <c r="G3" s="131"/>
      <c r="H3" s="131">
        <v>54</v>
      </c>
      <c r="I3" s="131"/>
      <c r="J3" s="131">
        <v>2</v>
      </c>
      <c r="K3" s="131"/>
      <c r="L3" s="131">
        <v>1.5</v>
      </c>
      <c r="M3" s="131" t="s">
        <v>1</v>
      </c>
      <c r="N3" s="131"/>
      <c r="O3" s="131">
        <v>54</v>
      </c>
      <c r="P3" s="131">
        <v>0</v>
      </c>
      <c r="Q3" s="131">
        <v>8</v>
      </c>
      <c r="R3" s="131">
        <v>62</v>
      </c>
      <c r="S3" s="131"/>
      <c r="T3" s="131">
        <v>0</v>
      </c>
      <c r="U3" s="131">
        <v>0</v>
      </c>
      <c r="V3" s="131">
        <v>0</v>
      </c>
      <c r="W3" s="131">
        <v>0</v>
      </c>
      <c r="X3" s="131">
        <v>0</v>
      </c>
      <c r="Y3" s="132">
        <v>41611</v>
      </c>
      <c r="Z3" s="131"/>
      <c r="AA3" s="131"/>
      <c r="AB3" s="131" t="str">
        <f t="shared" ref="AB3:AB60" si="2">IF(AA3&gt;0,C3+AA3, "")</f>
        <v/>
      </c>
      <c r="AC3" s="131">
        <f>IF(Y3=Y2,AC2,AC2+1)</f>
        <v>1</v>
      </c>
      <c r="AD3" s="143" t="str">
        <f t="shared" ref="AD3" si="3">IF(Z3="", "A", "AM")</f>
        <v>A</v>
      </c>
      <c r="AE3" s="145">
        <f>B3-T3</f>
        <v>127</v>
      </c>
      <c r="AF3" s="12" t="b">
        <f t="shared" si="1"/>
        <v>0</v>
      </c>
    </row>
    <row r="4" spans="1:32">
      <c r="A4" s="131" t="s">
        <v>341</v>
      </c>
      <c r="B4" s="131">
        <v>429</v>
      </c>
      <c r="C4" s="131">
        <v>4.5</v>
      </c>
      <c r="D4" s="131">
        <v>126.4</v>
      </c>
      <c r="E4" s="131"/>
      <c r="F4" s="131">
        <v>0</v>
      </c>
      <c r="G4" s="131"/>
      <c r="H4" s="131">
        <v>245</v>
      </c>
      <c r="I4" s="131"/>
      <c r="J4" s="131">
        <v>14</v>
      </c>
      <c r="K4" s="131"/>
      <c r="L4" s="131">
        <v>0</v>
      </c>
      <c r="M4" s="131" t="s">
        <v>1</v>
      </c>
      <c r="N4" s="131"/>
      <c r="O4" s="131">
        <v>289</v>
      </c>
      <c r="P4" s="131">
        <v>10</v>
      </c>
      <c r="Q4" s="131">
        <v>7</v>
      </c>
      <c r="R4" s="131">
        <v>306</v>
      </c>
      <c r="S4" s="131"/>
      <c r="T4" s="131">
        <v>0</v>
      </c>
      <c r="U4" s="131">
        <v>0</v>
      </c>
      <c r="V4" s="131">
        <v>0</v>
      </c>
      <c r="W4" s="131">
        <v>0</v>
      </c>
      <c r="X4" s="131">
        <v>0</v>
      </c>
      <c r="Y4" s="132">
        <v>41611</v>
      </c>
      <c r="Z4" s="131"/>
      <c r="AA4" s="131"/>
      <c r="AB4" s="131" t="str">
        <f t="shared" si="2"/>
        <v/>
      </c>
      <c r="AC4" s="131">
        <f t="shared" ref="AC4:AC6" si="4">IF(Y4=Y3,AC3,AC3+1)</f>
        <v>1</v>
      </c>
      <c r="AD4" s="143" t="str">
        <f t="shared" ref="AD4:AD6" si="5">IF(Z4="", "A", "AM")</f>
        <v>A</v>
      </c>
      <c r="AE4" s="145">
        <f t="shared" ref="AE4:AE6" si="6">B4-T4</f>
        <v>429</v>
      </c>
      <c r="AF4" s="12" t="b">
        <f t="shared" si="1"/>
        <v>0</v>
      </c>
    </row>
    <row r="5" spans="1:32">
      <c r="A5" s="131" t="s">
        <v>359</v>
      </c>
      <c r="B5" s="131">
        <v>235</v>
      </c>
      <c r="C5" s="131">
        <v>2</v>
      </c>
      <c r="D5" s="131">
        <v>76.400000000000006</v>
      </c>
      <c r="E5" s="131"/>
      <c r="F5" s="131">
        <v>0</v>
      </c>
      <c r="G5" s="131"/>
      <c r="H5" s="131">
        <v>80</v>
      </c>
      <c r="I5" s="131"/>
      <c r="J5" s="131">
        <v>25</v>
      </c>
      <c r="K5" s="131"/>
      <c r="L5" s="131">
        <v>0</v>
      </c>
      <c r="M5" s="131" t="s">
        <v>1</v>
      </c>
      <c r="N5" s="131"/>
      <c r="O5" s="131">
        <v>51</v>
      </c>
      <c r="P5" s="131">
        <v>11.5</v>
      </c>
      <c r="Q5" s="131">
        <v>0</v>
      </c>
      <c r="R5" s="131">
        <v>62.5</v>
      </c>
      <c r="S5" s="131"/>
      <c r="T5" s="131">
        <v>0</v>
      </c>
      <c r="U5" s="131">
        <v>0</v>
      </c>
      <c r="V5" s="131">
        <v>0</v>
      </c>
      <c r="W5" s="131">
        <v>0</v>
      </c>
      <c r="X5" s="131">
        <v>0</v>
      </c>
      <c r="Y5" s="132">
        <v>41611</v>
      </c>
      <c r="Z5" s="131"/>
      <c r="AA5" s="131"/>
      <c r="AB5" s="131" t="str">
        <f t="shared" si="2"/>
        <v/>
      </c>
      <c r="AC5" s="131">
        <f t="shared" si="4"/>
        <v>1</v>
      </c>
      <c r="AD5" s="143" t="str">
        <f t="shared" si="5"/>
        <v>A</v>
      </c>
      <c r="AE5" s="145">
        <f t="shared" si="6"/>
        <v>235</v>
      </c>
      <c r="AF5" s="12" t="b">
        <f t="shared" si="1"/>
        <v>0</v>
      </c>
    </row>
    <row r="6" spans="1:32">
      <c r="A6" s="131" t="s">
        <v>360</v>
      </c>
      <c r="B6" s="131">
        <v>277</v>
      </c>
      <c r="C6" s="131">
        <v>4.5</v>
      </c>
      <c r="D6" s="131">
        <v>93.6</v>
      </c>
      <c r="E6" s="131"/>
      <c r="F6" s="131">
        <v>0</v>
      </c>
      <c r="G6" s="131"/>
      <c r="H6" s="131">
        <v>135</v>
      </c>
      <c r="I6" s="131"/>
      <c r="J6" s="131">
        <v>14</v>
      </c>
      <c r="K6" s="131"/>
      <c r="L6" s="131">
        <v>0</v>
      </c>
      <c r="M6" s="131" t="s">
        <v>1</v>
      </c>
      <c r="N6" s="131"/>
      <c r="O6" s="131">
        <v>125</v>
      </c>
      <c r="P6" s="131">
        <v>17</v>
      </c>
      <c r="Q6" s="131">
        <v>74</v>
      </c>
      <c r="R6" s="131">
        <v>216</v>
      </c>
      <c r="S6" s="131"/>
      <c r="T6" s="131">
        <v>0</v>
      </c>
      <c r="U6" s="131">
        <v>0</v>
      </c>
      <c r="V6" s="131">
        <v>0</v>
      </c>
      <c r="W6" s="131">
        <v>0</v>
      </c>
      <c r="X6" s="131">
        <v>0</v>
      </c>
      <c r="Y6" s="132">
        <v>41611</v>
      </c>
      <c r="Z6" s="131"/>
      <c r="AA6" s="131"/>
      <c r="AB6" s="131" t="str">
        <f t="shared" si="2"/>
        <v/>
      </c>
      <c r="AC6" s="131">
        <f t="shared" si="4"/>
        <v>1</v>
      </c>
      <c r="AD6" s="143" t="str">
        <f t="shared" si="5"/>
        <v>A</v>
      </c>
      <c r="AE6" s="145">
        <f t="shared" si="6"/>
        <v>277</v>
      </c>
      <c r="AF6" s="12" t="b">
        <f t="shared" si="1"/>
        <v>0</v>
      </c>
    </row>
    <row r="7" spans="1:32">
      <c r="A7" s="131" t="s">
        <v>386</v>
      </c>
      <c r="B7" s="131">
        <v>582</v>
      </c>
      <c r="C7" s="131">
        <v>0</v>
      </c>
      <c r="D7" s="131">
        <v>260.3</v>
      </c>
      <c r="E7" s="131"/>
      <c r="F7" s="131">
        <v>0.5</v>
      </c>
      <c r="G7" s="131"/>
      <c r="H7" s="131">
        <v>291</v>
      </c>
      <c r="I7" s="131"/>
      <c r="J7" s="131">
        <v>23</v>
      </c>
      <c r="K7" s="131"/>
      <c r="L7" s="131">
        <v>0</v>
      </c>
      <c r="M7" s="131" t="s">
        <v>1</v>
      </c>
      <c r="N7" s="131"/>
      <c r="O7" s="131">
        <v>410</v>
      </c>
      <c r="P7" s="131">
        <v>15</v>
      </c>
      <c r="Q7" s="131">
        <v>8</v>
      </c>
      <c r="R7" s="131">
        <v>433</v>
      </c>
      <c r="S7" s="131"/>
      <c r="T7" s="131">
        <v>0</v>
      </c>
      <c r="U7" s="131">
        <v>0</v>
      </c>
      <c r="V7" s="131">
        <v>0</v>
      </c>
      <c r="W7" s="131">
        <v>0</v>
      </c>
      <c r="X7" s="131">
        <v>0</v>
      </c>
      <c r="Y7" s="132">
        <v>41611</v>
      </c>
      <c r="Z7" s="131"/>
      <c r="AA7" s="131"/>
      <c r="AB7" s="131" t="str">
        <f t="shared" si="2"/>
        <v/>
      </c>
      <c r="AC7" s="131">
        <f t="shared" ref="AC7:AC25" si="7">IF(Y7=Y6,AC6,AC6+1)</f>
        <v>1</v>
      </c>
      <c r="AD7" s="143" t="str">
        <f t="shared" ref="AD7:AD25" si="8">IF(Z7="", "A", "AM")</f>
        <v>A</v>
      </c>
      <c r="AE7" s="145">
        <f t="shared" ref="AE7:AE25" si="9">B7-T7</f>
        <v>582</v>
      </c>
      <c r="AF7" s="12" t="b">
        <f t="shared" si="1"/>
        <v>0</v>
      </c>
    </row>
    <row r="8" spans="1:32">
      <c r="A8" s="131" t="s">
        <v>394</v>
      </c>
      <c r="B8" s="131">
        <v>284</v>
      </c>
      <c r="C8" s="131">
        <v>0</v>
      </c>
      <c r="D8" s="131">
        <v>39.1</v>
      </c>
      <c r="E8" s="131"/>
      <c r="F8" s="131">
        <v>14.9</v>
      </c>
      <c r="G8" s="131"/>
      <c r="H8" s="131">
        <v>109</v>
      </c>
      <c r="I8" s="131"/>
      <c r="J8" s="131">
        <v>16</v>
      </c>
      <c r="K8" s="131"/>
      <c r="L8" s="131">
        <v>0</v>
      </c>
      <c r="M8" s="131" t="s">
        <v>1</v>
      </c>
      <c r="N8" s="131"/>
      <c r="O8" s="131">
        <v>51</v>
      </c>
      <c r="P8" s="131">
        <v>11</v>
      </c>
      <c r="Q8" s="131">
        <v>17</v>
      </c>
      <c r="R8" s="131">
        <v>79</v>
      </c>
      <c r="S8" s="131"/>
      <c r="T8" s="131">
        <v>0</v>
      </c>
      <c r="U8" s="131">
        <v>0</v>
      </c>
      <c r="V8" s="131">
        <v>0</v>
      </c>
      <c r="W8" s="131">
        <v>0</v>
      </c>
      <c r="X8" s="131">
        <v>0</v>
      </c>
      <c r="Y8" s="132">
        <v>41611</v>
      </c>
      <c r="Z8" s="131"/>
      <c r="AA8" s="131"/>
      <c r="AB8" s="131" t="str">
        <f t="shared" si="2"/>
        <v/>
      </c>
      <c r="AC8" s="131">
        <f t="shared" si="7"/>
        <v>1</v>
      </c>
      <c r="AD8" s="143" t="str">
        <f t="shared" si="8"/>
        <v>A</v>
      </c>
      <c r="AE8" s="145">
        <f t="shared" si="9"/>
        <v>284</v>
      </c>
      <c r="AF8" s="12" t="b">
        <f t="shared" si="1"/>
        <v>0</v>
      </c>
    </row>
    <row r="9" spans="1:32">
      <c r="A9" s="131" t="s">
        <v>401</v>
      </c>
      <c r="B9" s="131">
        <v>490.2</v>
      </c>
      <c r="C9" s="131">
        <v>0</v>
      </c>
      <c r="D9" s="131">
        <v>116.3</v>
      </c>
      <c r="E9" s="131"/>
      <c r="F9" s="131">
        <v>18.5</v>
      </c>
      <c r="G9" s="131"/>
      <c r="H9" s="131">
        <v>151</v>
      </c>
      <c r="I9" s="131"/>
      <c r="J9" s="131">
        <v>53</v>
      </c>
      <c r="K9" s="131"/>
      <c r="L9" s="131">
        <v>0</v>
      </c>
      <c r="M9" s="131" t="s">
        <v>1</v>
      </c>
      <c r="N9" s="131"/>
      <c r="O9" s="131">
        <v>227</v>
      </c>
      <c r="P9" s="131">
        <v>0</v>
      </c>
      <c r="Q9" s="131">
        <v>9</v>
      </c>
      <c r="R9" s="131">
        <v>236</v>
      </c>
      <c r="S9" s="131"/>
      <c r="T9" s="131">
        <v>1</v>
      </c>
      <c r="U9" s="131">
        <v>0</v>
      </c>
      <c r="V9" s="131">
        <v>0</v>
      </c>
      <c r="W9" s="131">
        <v>0</v>
      </c>
      <c r="X9" s="131">
        <v>0</v>
      </c>
      <c r="Y9" s="132">
        <v>41611</v>
      </c>
      <c r="Z9" s="131"/>
      <c r="AA9" s="131"/>
      <c r="AB9" s="131" t="str">
        <f t="shared" si="2"/>
        <v/>
      </c>
      <c r="AC9" s="131">
        <f t="shared" si="7"/>
        <v>1</v>
      </c>
      <c r="AD9" s="143" t="str">
        <f t="shared" si="8"/>
        <v>A</v>
      </c>
      <c r="AE9" s="145">
        <f t="shared" si="9"/>
        <v>489.2</v>
      </c>
      <c r="AF9" s="12" t="b">
        <f t="shared" si="1"/>
        <v>0</v>
      </c>
    </row>
    <row r="10" spans="1:32">
      <c r="A10" s="131" t="s">
        <v>415</v>
      </c>
      <c r="B10" s="131">
        <v>587</v>
      </c>
      <c r="C10" s="131">
        <v>0</v>
      </c>
      <c r="D10" s="131">
        <v>50.2</v>
      </c>
      <c r="E10" s="131"/>
      <c r="F10" s="131">
        <v>0</v>
      </c>
      <c r="G10" s="131"/>
      <c r="H10" s="131">
        <v>208</v>
      </c>
      <c r="I10" s="131"/>
      <c r="J10" s="131">
        <v>28</v>
      </c>
      <c r="K10" s="131"/>
      <c r="L10" s="131">
        <v>0</v>
      </c>
      <c r="M10" s="131" t="s">
        <v>1</v>
      </c>
      <c r="N10" s="131"/>
      <c r="O10" s="131">
        <v>106</v>
      </c>
      <c r="P10" s="131">
        <v>1</v>
      </c>
      <c r="Q10" s="131">
        <v>26</v>
      </c>
      <c r="R10" s="131">
        <v>133</v>
      </c>
      <c r="S10" s="131"/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2">
        <v>41611</v>
      </c>
      <c r="Z10" s="131"/>
      <c r="AA10" s="131"/>
      <c r="AB10" s="131" t="str">
        <f t="shared" si="2"/>
        <v/>
      </c>
      <c r="AC10" s="131">
        <f t="shared" si="7"/>
        <v>1</v>
      </c>
      <c r="AD10" s="143" t="str">
        <f t="shared" si="8"/>
        <v>A</v>
      </c>
      <c r="AE10" s="145">
        <f t="shared" si="9"/>
        <v>587</v>
      </c>
      <c r="AF10" s="12" t="b">
        <f t="shared" si="1"/>
        <v>0</v>
      </c>
    </row>
    <row r="11" spans="1:32">
      <c r="A11" s="131" t="s">
        <v>428</v>
      </c>
      <c r="B11" s="131">
        <v>431</v>
      </c>
      <c r="C11" s="131">
        <v>5</v>
      </c>
      <c r="D11" s="131">
        <v>80.599999999999994</v>
      </c>
      <c r="E11" s="131"/>
      <c r="F11" s="131">
        <v>0</v>
      </c>
      <c r="G11" s="131"/>
      <c r="H11" s="131">
        <v>134</v>
      </c>
      <c r="I11" s="131"/>
      <c r="J11" s="131">
        <v>33</v>
      </c>
      <c r="K11" s="131"/>
      <c r="L11" s="131">
        <v>0</v>
      </c>
      <c r="M11" s="131" t="s">
        <v>1</v>
      </c>
      <c r="N11" s="131"/>
      <c r="O11" s="131">
        <v>224</v>
      </c>
      <c r="P11" s="131">
        <v>100</v>
      </c>
      <c r="Q11" s="131">
        <v>85</v>
      </c>
      <c r="R11" s="131">
        <v>409</v>
      </c>
      <c r="S11" s="131"/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2">
        <v>41611</v>
      </c>
      <c r="Z11" s="131"/>
      <c r="AA11" s="131"/>
      <c r="AB11" s="131" t="str">
        <f t="shared" si="2"/>
        <v/>
      </c>
      <c r="AC11" s="131">
        <f t="shared" si="7"/>
        <v>1</v>
      </c>
      <c r="AD11" s="143" t="str">
        <f t="shared" si="8"/>
        <v>A</v>
      </c>
      <c r="AE11" s="145">
        <f t="shared" si="9"/>
        <v>431</v>
      </c>
      <c r="AF11" s="12" t="b">
        <f t="shared" si="1"/>
        <v>0</v>
      </c>
    </row>
    <row r="12" spans="1:32">
      <c r="A12" s="131" t="s">
        <v>431</v>
      </c>
      <c r="B12" s="131">
        <v>493.7</v>
      </c>
      <c r="C12" s="131">
        <v>12</v>
      </c>
      <c r="D12" s="131">
        <v>87.5</v>
      </c>
      <c r="E12" s="131"/>
      <c r="F12" s="131">
        <v>0</v>
      </c>
      <c r="G12" s="131"/>
      <c r="H12" s="131">
        <v>179</v>
      </c>
      <c r="I12" s="131"/>
      <c r="J12" s="131">
        <v>75</v>
      </c>
      <c r="K12" s="131"/>
      <c r="L12" s="131">
        <v>0</v>
      </c>
      <c r="M12" s="131" t="s">
        <v>1</v>
      </c>
      <c r="N12" s="131"/>
      <c r="O12" s="131">
        <v>246</v>
      </c>
      <c r="P12" s="131">
        <v>30</v>
      </c>
      <c r="Q12" s="131">
        <v>11</v>
      </c>
      <c r="R12" s="131">
        <v>287</v>
      </c>
      <c r="S12" s="131"/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2">
        <v>41611</v>
      </c>
      <c r="Z12" s="131"/>
      <c r="AA12" s="131"/>
      <c r="AB12" s="131" t="str">
        <f t="shared" si="2"/>
        <v/>
      </c>
      <c r="AC12" s="131">
        <f t="shared" si="7"/>
        <v>1</v>
      </c>
      <c r="AD12" s="143" t="str">
        <f t="shared" si="8"/>
        <v>A</v>
      </c>
      <c r="AE12" s="145">
        <f t="shared" si="9"/>
        <v>493.7</v>
      </c>
      <c r="AF12" s="12" t="b">
        <f t="shared" si="1"/>
        <v>0</v>
      </c>
    </row>
    <row r="13" spans="1:32">
      <c r="A13" s="131" t="s">
        <v>435</v>
      </c>
      <c r="B13" s="131">
        <v>505.3</v>
      </c>
      <c r="C13" s="131">
        <v>10</v>
      </c>
      <c r="D13" s="131">
        <v>201.3</v>
      </c>
      <c r="E13" s="131"/>
      <c r="F13" s="131">
        <v>1.4</v>
      </c>
      <c r="G13" s="131"/>
      <c r="H13" s="131">
        <v>268</v>
      </c>
      <c r="I13" s="131"/>
      <c r="J13" s="131">
        <v>32</v>
      </c>
      <c r="K13" s="131"/>
      <c r="L13" s="131">
        <v>0</v>
      </c>
      <c r="M13" s="131" t="s">
        <v>1</v>
      </c>
      <c r="N13" s="131"/>
      <c r="O13" s="131">
        <v>311</v>
      </c>
      <c r="P13" s="131">
        <v>70</v>
      </c>
      <c r="Q13" s="131">
        <v>34</v>
      </c>
      <c r="R13" s="131">
        <v>415</v>
      </c>
      <c r="S13" s="131"/>
      <c r="T13" s="131">
        <v>0.9</v>
      </c>
      <c r="U13" s="131">
        <v>0</v>
      </c>
      <c r="V13" s="131">
        <v>0</v>
      </c>
      <c r="W13" s="131">
        <v>0</v>
      </c>
      <c r="X13" s="131">
        <v>0</v>
      </c>
      <c r="Y13" s="132">
        <v>41611</v>
      </c>
      <c r="Z13" s="131"/>
      <c r="AA13" s="131"/>
      <c r="AB13" s="131" t="str">
        <f t="shared" si="2"/>
        <v/>
      </c>
      <c r="AC13" s="131">
        <f t="shared" si="7"/>
        <v>1</v>
      </c>
      <c r="AD13" s="143" t="str">
        <f t="shared" si="8"/>
        <v>A</v>
      </c>
      <c r="AE13" s="145">
        <f t="shared" si="9"/>
        <v>504.4</v>
      </c>
      <c r="AF13" s="12" t="b">
        <f t="shared" si="1"/>
        <v>0</v>
      </c>
    </row>
    <row r="14" spans="1:32">
      <c r="A14" s="131" t="s">
        <v>447</v>
      </c>
      <c r="B14" s="131">
        <v>161</v>
      </c>
      <c r="C14" s="131">
        <v>1</v>
      </c>
      <c r="D14" s="131">
        <v>9.6</v>
      </c>
      <c r="E14" s="131"/>
      <c r="F14" s="131">
        <v>0</v>
      </c>
      <c r="G14" s="131"/>
      <c r="H14" s="131">
        <v>58</v>
      </c>
      <c r="I14" s="131"/>
      <c r="J14" s="131">
        <v>4</v>
      </c>
      <c r="K14" s="131"/>
      <c r="L14" s="131">
        <v>0</v>
      </c>
      <c r="M14" s="131" t="s">
        <v>1</v>
      </c>
      <c r="N14" s="131"/>
      <c r="O14" s="131">
        <v>56</v>
      </c>
      <c r="P14" s="131">
        <v>24</v>
      </c>
      <c r="Q14" s="131">
        <v>4</v>
      </c>
      <c r="R14" s="131">
        <v>84</v>
      </c>
      <c r="S14" s="131"/>
      <c r="T14" s="131">
        <v>1</v>
      </c>
      <c r="U14" s="131">
        <v>0</v>
      </c>
      <c r="V14" s="131">
        <v>0</v>
      </c>
      <c r="W14" s="131">
        <v>0</v>
      </c>
      <c r="X14" s="131">
        <v>0</v>
      </c>
      <c r="Y14" s="132">
        <v>41611</v>
      </c>
      <c r="Z14" s="131"/>
      <c r="AA14" s="131"/>
      <c r="AB14" s="131" t="str">
        <f t="shared" si="2"/>
        <v/>
      </c>
      <c r="AC14" s="131">
        <f t="shared" si="7"/>
        <v>1</v>
      </c>
      <c r="AD14" s="143" t="str">
        <f t="shared" si="8"/>
        <v>A</v>
      </c>
      <c r="AE14" s="145">
        <f t="shared" si="9"/>
        <v>160</v>
      </c>
      <c r="AF14" s="12" t="b">
        <f t="shared" si="1"/>
        <v>0</v>
      </c>
    </row>
    <row r="15" spans="1:32">
      <c r="A15" s="131" t="s">
        <v>448</v>
      </c>
      <c r="B15" s="131">
        <v>240.5</v>
      </c>
      <c r="C15" s="131">
        <v>3</v>
      </c>
      <c r="D15" s="131">
        <v>68</v>
      </c>
      <c r="E15" s="131"/>
      <c r="F15" s="131">
        <v>0</v>
      </c>
      <c r="G15" s="131"/>
      <c r="H15" s="131">
        <v>102</v>
      </c>
      <c r="I15" s="131"/>
      <c r="J15" s="131">
        <v>23</v>
      </c>
      <c r="K15" s="131"/>
      <c r="L15" s="131">
        <v>0</v>
      </c>
      <c r="M15" s="131" t="s">
        <v>1</v>
      </c>
      <c r="N15" s="131"/>
      <c r="O15" s="131">
        <v>43</v>
      </c>
      <c r="P15" s="131">
        <v>0</v>
      </c>
      <c r="Q15" s="131">
        <v>0</v>
      </c>
      <c r="R15" s="131">
        <v>43</v>
      </c>
      <c r="S15" s="131"/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2">
        <v>41611</v>
      </c>
      <c r="Z15" s="131"/>
      <c r="AA15" s="131"/>
      <c r="AB15" s="131" t="str">
        <f t="shared" si="2"/>
        <v/>
      </c>
      <c r="AC15" s="131">
        <f t="shared" si="7"/>
        <v>1</v>
      </c>
      <c r="AD15" s="143" t="str">
        <f t="shared" si="8"/>
        <v>A</v>
      </c>
      <c r="AE15" s="145">
        <f t="shared" si="9"/>
        <v>240.5</v>
      </c>
      <c r="AF15" s="12" t="b">
        <f t="shared" si="1"/>
        <v>0</v>
      </c>
    </row>
    <row r="16" spans="1:32">
      <c r="A16" s="131" t="s">
        <v>457</v>
      </c>
      <c r="B16" s="131">
        <v>230</v>
      </c>
      <c r="C16" s="131">
        <v>2.5</v>
      </c>
      <c r="D16" s="131">
        <v>73.400000000000006</v>
      </c>
      <c r="E16" s="131"/>
      <c r="F16" s="131">
        <v>3.6</v>
      </c>
      <c r="G16" s="131"/>
      <c r="H16" s="131">
        <v>125</v>
      </c>
      <c r="I16" s="131"/>
      <c r="J16" s="131">
        <v>19</v>
      </c>
      <c r="K16" s="131"/>
      <c r="L16" s="131">
        <v>0</v>
      </c>
      <c r="M16" s="131" t="s">
        <v>1</v>
      </c>
      <c r="N16" s="131"/>
      <c r="O16" s="131">
        <v>32</v>
      </c>
      <c r="P16" s="131">
        <v>1</v>
      </c>
      <c r="Q16" s="131">
        <v>0</v>
      </c>
      <c r="R16" s="131">
        <v>33</v>
      </c>
      <c r="S16" s="131"/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2">
        <v>41611</v>
      </c>
      <c r="Z16" s="131"/>
      <c r="AA16" s="131"/>
      <c r="AB16" s="131" t="str">
        <f t="shared" si="2"/>
        <v/>
      </c>
      <c r="AC16" s="131">
        <f t="shared" si="7"/>
        <v>1</v>
      </c>
      <c r="AD16" s="143" t="str">
        <f t="shared" si="8"/>
        <v>A</v>
      </c>
      <c r="AE16" s="145">
        <f t="shared" si="9"/>
        <v>230</v>
      </c>
      <c r="AF16" s="12" t="b">
        <f t="shared" si="1"/>
        <v>0</v>
      </c>
    </row>
    <row r="17" spans="1:32">
      <c r="A17" s="131" t="s">
        <v>476</v>
      </c>
      <c r="B17" s="131">
        <v>628</v>
      </c>
      <c r="C17" s="131">
        <v>15</v>
      </c>
      <c r="D17" s="131">
        <v>103.8</v>
      </c>
      <c r="E17" s="131"/>
      <c r="F17" s="131">
        <v>1.2</v>
      </c>
      <c r="G17" s="131"/>
      <c r="H17" s="131">
        <v>357</v>
      </c>
      <c r="I17" s="131"/>
      <c r="J17" s="131">
        <v>34</v>
      </c>
      <c r="K17" s="131"/>
      <c r="L17" s="131">
        <v>0</v>
      </c>
      <c r="M17" s="131" t="s">
        <v>1</v>
      </c>
      <c r="N17" s="131"/>
      <c r="O17" s="131">
        <v>196</v>
      </c>
      <c r="P17" s="131">
        <v>346</v>
      </c>
      <c r="Q17" s="131">
        <v>31</v>
      </c>
      <c r="R17" s="131">
        <v>573</v>
      </c>
      <c r="S17" s="131"/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2">
        <v>41611</v>
      </c>
      <c r="Z17" s="131"/>
      <c r="AA17" s="131"/>
      <c r="AB17" s="131" t="str">
        <f t="shared" si="2"/>
        <v/>
      </c>
      <c r="AC17" s="131">
        <f t="shared" si="7"/>
        <v>1</v>
      </c>
      <c r="AD17" s="143" t="str">
        <f t="shared" si="8"/>
        <v>A</v>
      </c>
      <c r="AE17" s="145">
        <f t="shared" si="9"/>
        <v>628</v>
      </c>
      <c r="AF17" s="12" t="b">
        <f t="shared" si="1"/>
        <v>0</v>
      </c>
    </row>
    <row r="18" spans="1:32">
      <c r="A18" s="131" t="s">
        <v>490</v>
      </c>
      <c r="B18" s="131">
        <v>725.7</v>
      </c>
      <c r="C18" s="131">
        <v>7</v>
      </c>
      <c r="D18" s="131">
        <v>208.8</v>
      </c>
      <c r="E18" s="131"/>
      <c r="F18" s="131">
        <v>0</v>
      </c>
      <c r="G18" s="131"/>
      <c r="H18" s="131">
        <v>334</v>
      </c>
      <c r="I18" s="131"/>
      <c r="J18" s="131">
        <v>50</v>
      </c>
      <c r="K18" s="131"/>
      <c r="L18" s="131">
        <v>0</v>
      </c>
      <c r="M18" s="131" t="s">
        <v>1</v>
      </c>
      <c r="N18" s="131"/>
      <c r="O18" s="131">
        <v>261</v>
      </c>
      <c r="P18" s="131">
        <v>261</v>
      </c>
      <c r="Q18" s="131">
        <v>58</v>
      </c>
      <c r="R18" s="131">
        <v>580</v>
      </c>
      <c r="S18" s="131"/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2">
        <v>41611</v>
      </c>
      <c r="Z18" s="131"/>
      <c r="AA18" s="131"/>
      <c r="AB18" s="131" t="str">
        <f t="shared" si="2"/>
        <v/>
      </c>
      <c r="AC18" s="131">
        <f t="shared" si="7"/>
        <v>1</v>
      </c>
      <c r="AD18" s="143" t="str">
        <f t="shared" si="8"/>
        <v>A</v>
      </c>
      <c r="AE18" s="145">
        <f t="shared" si="9"/>
        <v>725.7</v>
      </c>
      <c r="AF18" s="12" t="b">
        <f t="shared" si="1"/>
        <v>0</v>
      </c>
    </row>
    <row r="19" spans="1:32">
      <c r="A19" s="131" t="s">
        <v>500</v>
      </c>
      <c r="B19" s="131">
        <v>1691.1</v>
      </c>
      <c r="C19" s="131">
        <v>0</v>
      </c>
      <c r="D19" s="131">
        <v>253.4</v>
      </c>
      <c r="E19" s="131"/>
      <c r="F19" s="131">
        <v>30.8</v>
      </c>
      <c r="G19" s="131"/>
      <c r="H19" s="131">
        <v>287</v>
      </c>
      <c r="I19" s="131"/>
      <c r="J19" s="131">
        <v>93</v>
      </c>
      <c r="K19" s="131"/>
      <c r="L19" s="131">
        <v>0</v>
      </c>
      <c r="M19" s="131" t="s">
        <v>1</v>
      </c>
      <c r="N19" s="131"/>
      <c r="O19" s="131">
        <v>739</v>
      </c>
      <c r="P19" s="131">
        <v>868</v>
      </c>
      <c r="Q19" s="131">
        <v>4</v>
      </c>
      <c r="R19" s="131">
        <v>1611</v>
      </c>
      <c r="S19" s="131"/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2">
        <v>41611</v>
      </c>
      <c r="Z19" s="131"/>
      <c r="AA19" s="131"/>
      <c r="AB19" s="131" t="str">
        <f t="shared" si="2"/>
        <v/>
      </c>
      <c r="AC19" s="131">
        <f t="shared" si="7"/>
        <v>1</v>
      </c>
      <c r="AD19" s="143" t="str">
        <f t="shared" si="8"/>
        <v>A</v>
      </c>
      <c r="AE19" s="145">
        <f t="shared" si="9"/>
        <v>1691.1</v>
      </c>
      <c r="AF19" s="12" t="b">
        <f t="shared" si="1"/>
        <v>0</v>
      </c>
    </row>
    <row r="20" spans="1:32">
      <c r="A20" s="131" t="s">
        <v>510</v>
      </c>
      <c r="B20" s="131">
        <v>324</v>
      </c>
      <c r="C20" s="131">
        <v>0</v>
      </c>
      <c r="D20" s="131">
        <v>28.9</v>
      </c>
      <c r="E20" s="131"/>
      <c r="F20" s="131">
        <v>0</v>
      </c>
      <c r="G20" s="131"/>
      <c r="H20" s="131">
        <v>94</v>
      </c>
      <c r="I20" s="131"/>
      <c r="J20" s="131">
        <v>30</v>
      </c>
      <c r="K20" s="131"/>
      <c r="L20" s="131">
        <v>0</v>
      </c>
      <c r="M20" s="131" t="s">
        <v>1</v>
      </c>
      <c r="N20" s="131"/>
      <c r="O20" s="131">
        <v>91</v>
      </c>
      <c r="P20" s="131">
        <v>57</v>
      </c>
      <c r="Q20" s="131">
        <v>16</v>
      </c>
      <c r="R20" s="131">
        <v>164</v>
      </c>
      <c r="S20" s="131"/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2">
        <v>41611</v>
      </c>
      <c r="Z20" s="131"/>
      <c r="AA20" s="131"/>
      <c r="AB20" s="131" t="str">
        <f t="shared" si="2"/>
        <v/>
      </c>
      <c r="AC20" s="131">
        <f t="shared" si="7"/>
        <v>1</v>
      </c>
      <c r="AD20" s="143" t="str">
        <f t="shared" si="8"/>
        <v>A</v>
      </c>
      <c r="AE20" s="145">
        <f t="shared" si="9"/>
        <v>324</v>
      </c>
      <c r="AF20" s="12" t="b">
        <f t="shared" si="1"/>
        <v>0</v>
      </c>
    </row>
    <row r="21" spans="1:32">
      <c r="A21" s="131" t="s">
        <v>519</v>
      </c>
      <c r="B21" s="131">
        <v>500.4</v>
      </c>
      <c r="C21" s="131">
        <v>0</v>
      </c>
      <c r="D21" s="131">
        <v>169.6</v>
      </c>
      <c r="E21" s="131"/>
      <c r="F21" s="131">
        <v>0</v>
      </c>
      <c r="G21" s="131"/>
      <c r="H21" s="131">
        <v>147</v>
      </c>
      <c r="I21" s="131"/>
      <c r="J21" s="131">
        <v>35</v>
      </c>
      <c r="K21" s="131"/>
      <c r="L21" s="131">
        <v>0</v>
      </c>
      <c r="M21" s="131" t="s">
        <v>1</v>
      </c>
      <c r="N21" s="131"/>
      <c r="O21" s="131">
        <v>61</v>
      </c>
      <c r="P21" s="131">
        <v>12</v>
      </c>
      <c r="Q21" s="131">
        <v>119</v>
      </c>
      <c r="R21" s="131">
        <v>192</v>
      </c>
      <c r="S21" s="131"/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2">
        <v>41611</v>
      </c>
      <c r="Z21" s="131"/>
      <c r="AA21" s="131"/>
      <c r="AB21" s="131" t="str">
        <f t="shared" si="2"/>
        <v/>
      </c>
      <c r="AC21" s="131">
        <f t="shared" si="7"/>
        <v>1</v>
      </c>
      <c r="AD21" s="143" t="str">
        <f t="shared" si="8"/>
        <v>A</v>
      </c>
      <c r="AE21" s="145">
        <f t="shared" si="9"/>
        <v>500.4</v>
      </c>
      <c r="AF21" s="12" t="b">
        <f t="shared" si="1"/>
        <v>0</v>
      </c>
    </row>
    <row r="22" spans="1:32">
      <c r="A22" s="131" t="s">
        <v>535</v>
      </c>
      <c r="B22" s="131">
        <v>225.7</v>
      </c>
      <c r="C22" s="131">
        <v>3</v>
      </c>
      <c r="D22" s="131">
        <v>46.2</v>
      </c>
      <c r="E22" s="131"/>
      <c r="F22" s="131">
        <v>3.3</v>
      </c>
      <c r="G22" s="131"/>
      <c r="H22" s="131">
        <v>116</v>
      </c>
      <c r="I22" s="131"/>
      <c r="J22" s="131">
        <v>26</v>
      </c>
      <c r="K22" s="131"/>
      <c r="L22" s="131">
        <v>0</v>
      </c>
      <c r="M22" s="131" t="s">
        <v>1</v>
      </c>
      <c r="N22" s="131"/>
      <c r="O22" s="131">
        <v>73</v>
      </c>
      <c r="P22" s="131">
        <v>1</v>
      </c>
      <c r="Q22" s="131">
        <v>6.5</v>
      </c>
      <c r="R22" s="131">
        <v>80.5</v>
      </c>
      <c r="S22" s="131"/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2">
        <v>41611</v>
      </c>
      <c r="Z22" s="131"/>
      <c r="AA22" s="131"/>
      <c r="AB22" s="131" t="str">
        <f t="shared" si="2"/>
        <v/>
      </c>
      <c r="AC22" s="131">
        <f t="shared" si="7"/>
        <v>1</v>
      </c>
      <c r="AD22" s="143" t="str">
        <f t="shared" si="8"/>
        <v>A</v>
      </c>
      <c r="AE22" s="145">
        <f t="shared" si="9"/>
        <v>225.7</v>
      </c>
      <c r="AF22" s="12" t="b">
        <f t="shared" si="1"/>
        <v>0</v>
      </c>
    </row>
    <row r="23" spans="1:32">
      <c r="A23" s="131" t="s">
        <v>549</v>
      </c>
      <c r="B23" s="131">
        <v>105</v>
      </c>
      <c r="C23" s="131">
        <v>0</v>
      </c>
      <c r="D23" s="131">
        <v>34.700000000000003</v>
      </c>
      <c r="E23" s="131"/>
      <c r="F23" s="131">
        <v>0</v>
      </c>
      <c r="G23" s="131"/>
      <c r="H23" s="131">
        <v>29</v>
      </c>
      <c r="I23" s="131"/>
      <c r="J23" s="131">
        <v>4</v>
      </c>
      <c r="K23" s="131"/>
      <c r="L23" s="131">
        <v>0</v>
      </c>
      <c r="M23" s="131" t="s">
        <v>1</v>
      </c>
      <c r="N23" s="131"/>
      <c r="O23" s="131">
        <v>49</v>
      </c>
      <c r="P23" s="131">
        <v>1</v>
      </c>
      <c r="Q23" s="131">
        <v>9</v>
      </c>
      <c r="R23" s="131">
        <v>59</v>
      </c>
      <c r="S23" s="131"/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2">
        <v>41611</v>
      </c>
      <c r="Z23" s="131"/>
      <c r="AA23" s="131"/>
      <c r="AB23" s="131" t="str">
        <f t="shared" si="2"/>
        <v/>
      </c>
      <c r="AC23" s="131">
        <f t="shared" si="7"/>
        <v>1</v>
      </c>
      <c r="AD23" s="143" t="str">
        <f t="shared" si="8"/>
        <v>A</v>
      </c>
      <c r="AE23" s="145">
        <f t="shared" si="9"/>
        <v>105</v>
      </c>
      <c r="AF23" s="12" t="b">
        <f t="shared" si="1"/>
        <v>0</v>
      </c>
    </row>
    <row r="24" spans="1:32">
      <c r="A24" s="131" t="s">
        <v>552</v>
      </c>
      <c r="B24" s="131">
        <v>221.9</v>
      </c>
      <c r="C24" s="131">
        <v>3</v>
      </c>
      <c r="D24" s="131">
        <v>0</v>
      </c>
      <c r="E24" s="131"/>
      <c r="F24" s="131">
        <v>184.2</v>
      </c>
      <c r="G24" s="131"/>
      <c r="H24" s="131">
        <v>72</v>
      </c>
      <c r="I24" s="131"/>
      <c r="J24" s="131">
        <v>31</v>
      </c>
      <c r="K24" s="131"/>
      <c r="L24" s="131">
        <v>0</v>
      </c>
      <c r="M24" s="131" t="s">
        <v>1</v>
      </c>
      <c r="N24" s="131"/>
      <c r="O24" s="131">
        <v>60</v>
      </c>
      <c r="P24" s="131">
        <v>19</v>
      </c>
      <c r="Q24" s="131">
        <v>92</v>
      </c>
      <c r="R24" s="131">
        <v>171</v>
      </c>
      <c r="S24" s="131"/>
      <c r="T24" s="131">
        <v>0.9</v>
      </c>
      <c r="U24" s="131">
        <v>0</v>
      </c>
      <c r="V24" s="131">
        <v>0</v>
      </c>
      <c r="W24" s="131">
        <v>0</v>
      </c>
      <c r="X24" s="131">
        <v>0</v>
      </c>
      <c r="Y24" s="132">
        <v>41611</v>
      </c>
      <c r="Z24" s="131"/>
      <c r="AA24" s="131"/>
      <c r="AB24" s="131" t="str">
        <f t="shared" si="2"/>
        <v/>
      </c>
      <c r="AC24" s="131">
        <f t="shared" si="7"/>
        <v>1</v>
      </c>
      <c r="AD24" s="143" t="str">
        <f t="shared" si="8"/>
        <v>A</v>
      </c>
      <c r="AE24" s="145">
        <f t="shared" si="9"/>
        <v>221</v>
      </c>
      <c r="AF24" s="12" t="b">
        <f t="shared" si="1"/>
        <v>0</v>
      </c>
    </row>
    <row r="25" spans="1:32">
      <c r="A25" s="131" t="s">
        <v>564</v>
      </c>
      <c r="B25" s="131">
        <v>972.5</v>
      </c>
      <c r="C25" s="131">
        <v>15</v>
      </c>
      <c r="D25" s="131">
        <v>254.4</v>
      </c>
      <c r="E25" s="131"/>
      <c r="F25" s="131">
        <v>0.4</v>
      </c>
      <c r="G25" s="131"/>
      <c r="H25" s="131">
        <v>472</v>
      </c>
      <c r="I25" s="131"/>
      <c r="J25" s="131">
        <v>84</v>
      </c>
      <c r="K25" s="131"/>
      <c r="L25" s="131">
        <v>0</v>
      </c>
      <c r="M25" s="131" t="s">
        <v>1</v>
      </c>
      <c r="N25" s="131"/>
      <c r="O25" s="131">
        <v>366</v>
      </c>
      <c r="P25" s="131">
        <v>591.5</v>
      </c>
      <c r="Q25" s="131">
        <v>35</v>
      </c>
      <c r="R25" s="131">
        <v>992.5</v>
      </c>
      <c r="S25" s="131"/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2">
        <v>41611</v>
      </c>
      <c r="Z25" s="131"/>
      <c r="AA25" s="131"/>
      <c r="AB25" s="131" t="str">
        <f t="shared" si="2"/>
        <v/>
      </c>
      <c r="AC25" s="131">
        <f t="shared" si="7"/>
        <v>1</v>
      </c>
      <c r="AD25" s="143" t="str">
        <f t="shared" si="8"/>
        <v>A</v>
      </c>
      <c r="AE25" s="145">
        <f t="shared" si="9"/>
        <v>972.5</v>
      </c>
      <c r="AF25" s="12" t="b">
        <f t="shared" si="1"/>
        <v>0</v>
      </c>
    </row>
    <row r="26" spans="1:32">
      <c r="A26" s="131" t="s">
        <v>303</v>
      </c>
      <c r="B26" s="131">
        <v>346</v>
      </c>
      <c r="C26" s="131">
        <v>0</v>
      </c>
      <c r="D26" s="131">
        <v>128</v>
      </c>
      <c r="E26" s="131"/>
      <c r="F26" s="131">
        <v>0</v>
      </c>
      <c r="G26" s="131"/>
      <c r="H26" s="131">
        <v>110</v>
      </c>
      <c r="I26" s="131"/>
      <c r="J26" s="131">
        <v>34</v>
      </c>
      <c r="K26" s="131"/>
      <c r="L26" s="131">
        <v>0</v>
      </c>
      <c r="M26" s="131" t="s">
        <v>1</v>
      </c>
      <c r="N26" s="131"/>
      <c r="O26" s="131">
        <v>147.5</v>
      </c>
      <c r="P26" s="131">
        <v>15.5</v>
      </c>
      <c r="Q26" s="131">
        <v>16</v>
      </c>
      <c r="R26" s="131">
        <v>180</v>
      </c>
      <c r="S26" s="131"/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2">
        <v>41620</v>
      </c>
      <c r="Z26" s="131"/>
      <c r="AA26" s="131"/>
      <c r="AB26" s="131" t="str">
        <f t="shared" si="2"/>
        <v/>
      </c>
      <c r="AC26" s="131">
        <f t="shared" ref="AC26:AC69" si="10">IF(Y26=Y25,AC25,AC25+1)</f>
        <v>2</v>
      </c>
      <c r="AD26" s="143" t="str">
        <f t="shared" ref="AD26:AD38" si="11">IF(Z26="", "A", "AM")</f>
        <v>A</v>
      </c>
      <c r="AE26" s="145">
        <f t="shared" ref="AE26:AE38" si="12">B26-T26</f>
        <v>346</v>
      </c>
      <c r="AF26" s="12" t="b">
        <f t="shared" si="1"/>
        <v>0</v>
      </c>
    </row>
    <row r="27" spans="1:32">
      <c r="A27" s="131" t="s">
        <v>318</v>
      </c>
      <c r="B27" s="131">
        <v>375</v>
      </c>
      <c r="C27" s="131">
        <v>0</v>
      </c>
      <c r="D27" s="131">
        <v>53.1</v>
      </c>
      <c r="E27" s="131"/>
      <c r="F27" s="131">
        <v>0</v>
      </c>
      <c r="G27" s="131"/>
      <c r="H27" s="131">
        <v>71</v>
      </c>
      <c r="I27" s="131"/>
      <c r="J27" s="131">
        <v>36</v>
      </c>
      <c r="K27" s="131"/>
      <c r="L27" s="131">
        <v>0</v>
      </c>
      <c r="M27" s="131" t="s">
        <v>1</v>
      </c>
      <c r="N27" s="131"/>
      <c r="O27" s="131">
        <v>86</v>
      </c>
      <c r="P27" s="131">
        <v>2</v>
      </c>
      <c r="Q27" s="131">
        <v>0</v>
      </c>
      <c r="R27" s="131">
        <v>88</v>
      </c>
      <c r="S27" s="131"/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2">
        <v>41620</v>
      </c>
      <c r="Z27" s="131"/>
      <c r="AA27" s="131"/>
      <c r="AB27" s="131" t="str">
        <f t="shared" si="2"/>
        <v/>
      </c>
      <c r="AC27" s="131">
        <f t="shared" si="10"/>
        <v>2</v>
      </c>
      <c r="AD27" s="143" t="str">
        <f t="shared" si="11"/>
        <v>A</v>
      </c>
      <c r="AE27" s="145">
        <f t="shared" si="12"/>
        <v>375</v>
      </c>
      <c r="AF27" s="12" t="b">
        <f t="shared" si="1"/>
        <v>0</v>
      </c>
    </row>
    <row r="28" spans="1:32">
      <c r="A28" s="131" t="s">
        <v>319</v>
      </c>
      <c r="B28" s="131">
        <v>184.9</v>
      </c>
      <c r="C28" s="131">
        <v>4.5</v>
      </c>
      <c r="D28" s="131">
        <v>0</v>
      </c>
      <c r="E28" s="131"/>
      <c r="F28" s="131">
        <v>333.2</v>
      </c>
      <c r="G28" s="131"/>
      <c r="H28" s="131">
        <v>102</v>
      </c>
      <c r="I28" s="131"/>
      <c r="J28" s="131">
        <v>14</v>
      </c>
      <c r="K28" s="131"/>
      <c r="L28" s="131">
        <v>0</v>
      </c>
      <c r="M28" s="131" t="s">
        <v>1</v>
      </c>
      <c r="N28" s="131"/>
      <c r="O28" s="131">
        <v>46</v>
      </c>
      <c r="P28" s="131">
        <v>15</v>
      </c>
      <c r="Q28" s="131">
        <v>37</v>
      </c>
      <c r="R28" s="131">
        <v>98</v>
      </c>
      <c r="S28" s="131"/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2">
        <v>41620</v>
      </c>
      <c r="Z28" s="131"/>
      <c r="AA28" s="131"/>
      <c r="AB28" s="131" t="str">
        <f t="shared" si="2"/>
        <v/>
      </c>
      <c r="AC28" s="131">
        <f t="shared" ref="AC28:AC39" si="13">IF(Y28=Y27,AC27,AC27+1)</f>
        <v>2</v>
      </c>
      <c r="AD28" s="143" t="str">
        <f t="shared" ref="AD28:AD29" si="14">IF(Z28="", "A", "AM")</f>
        <v>A</v>
      </c>
      <c r="AE28" s="145">
        <f t="shared" ref="AE28:AE29" si="15">B28-T28</f>
        <v>184.9</v>
      </c>
      <c r="AF28" s="12" t="b">
        <f t="shared" si="1"/>
        <v>0</v>
      </c>
    </row>
    <row r="29" spans="1:32">
      <c r="A29" s="131" t="s">
        <v>326</v>
      </c>
      <c r="B29" s="131">
        <v>177.8</v>
      </c>
      <c r="C29" s="131">
        <v>0</v>
      </c>
      <c r="D29" s="131">
        <v>66.7</v>
      </c>
      <c r="E29" s="131"/>
      <c r="F29" s="131">
        <v>194.5</v>
      </c>
      <c r="G29" s="131"/>
      <c r="H29" s="131">
        <v>62</v>
      </c>
      <c r="I29" s="131"/>
      <c r="J29" s="131">
        <v>16</v>
      </c>
      <c r="K29" s="131"/>
      <c r="L29" s="131">
        <v>0</v>
      </c>
      <c r="M29" s="131" t="s">
        <v>1</v>
      </c>
      <c r="N29" s="131"/>
      <c r="O29" s="131">
        <v>37</v>
      </c>
      <c r="P29" s="131">
        <v>3</v>
      </c>
      <c r="Q29" s="131">
        <v>0</v>
      </c>
      <c r="R29" s="131">
        <v>40</v>
      </c>
      <c r="S29" s="131"/>
      <c r="T29" s="131">
        <v>1.4</v>
      </c>
      <c r="U29" s="131">
        <v>0</v>
      </c>
      <c r="V29" s="131">
        <v>0</v>
      </c>
      <c r="W29" s="131">
        <v>0</v>
      </c>
      <c r="X29" s="131">
        <v>0</v>
      </c>
      <c r="Y29" s="132">
        <v>41620</v>
      </c>
      <c r="Z29" s="131"/>
      <c r="AA29" s="131"/>
      <c r="AB29" s="131" t="str">
        <f t="shared" si="2"/>
        <v/>
      </c>
      <c r="AC29" s="131">
        <f t="shared" si="13"/>
        <v>2</v>
      </c>
      <c r="AD29" s="143" t="str">
        <f t="shared" si="14"/>
        <v>A</v>
      </c>
      <c r="AE29" s="145">
        <f t="shared" si="15"/>
        <v>176.4</v>
      </c>
      <c r="AF29" s="12" t="b">
        <f t="shared" si="1"/>
        <v>0</v>
      </c>
    </row>
    <row r="30" spans="1:32">
      <c r="A30" s="131" t="s">
        <v>330</v>
      </c>
      <c r="B30" s="131">
        <v>374.8</v>
      </c>
      <c r="C30" s="131">
        <v>0</v>
      </c>
      <c r="D30" s="131">
        <v>160.6</v>
      </c>
      <c r="E30" s="131"/>
      <c r="F30" s="131">
        <v>51.6</v>
      </c>
      <c r="G30" s="131"/>
      <c r="H30" s="131">
        <v>138</v>
      </c>
      <c r="I30" s="131"/>
      <c r="J30" s="131">
        <v>22</v>
      </c>
      <c r="K30" s="131"/>
      <c r="L30" s="131">
        <v>0</v>
      </c>
      <c r="M30" s="131" t="s">
        <v>1</v>
      </c>
      <c r="N30" s="131"/>
      <c r="O30" s="131">
        <v>138.69999999999999</v>
      </c>
      <c r="P30" s="131">
        <v>25.8</v>
      </c>
      <c r="Q30" s="131">
        <v>53.3</v>
      </c>
      <c r="R30" s="131">
        <v>217.8</v>
      </c>
      <c r="S30" s="131"/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2">
        <v>41620</v>
      </c>
      <c r="Z30" s="131"/>
      <c r="AA30" s="131"/>
      <c r="AB30" s="131" t="str">
        <f t="shared" si="2"/>
        <v/>
      </c>
      <c r="AC30" s="131">
        <f t="shared" si="13"/>
        <v>2</v>
      </c>
      <c r="AD30" s="143" t="str">
        <f t="shared" si="11"/>
        <v>A</v>
      </c>
      <c r="AE30" s="145">
        <f t="shared" si="12"/>
        <v>374.8</v>
      </c>
      <c r="AF30" s="12" t="b">
        <f t="shared" si="1"/>
        <v>0</v>
      </c>
    </row>
    <row r="31" spans="1:32">
      <c r="A31" s="131" t="s">
        <v>358</v>
      </c>
      <c r="B31" s="131">
        <v>446.5</v>
      </c>
      <c r="C31" s="131">
        <v>2.5</v>
      </c>
      <c r="D31" s="131">
        <v>65.2</v>
      </c>
      <c r="E31" s="131"/>
      <c r="F31" s="131">
        <v>0</v>
      </c>
      <c r="G31" s="131"/>
      <c r="H31" s="131">
        <v>159</v>
      </c>
      <c r="I31" s="131"/>
      <c r="J31" s="131">
        <v>13</v>
      </c>
      <c r="K31" s="131"/>
      <c r="L31" s="131">
        <v>0</v>
      </c>
      <c r="M31" s="131" t="s">
        <v>1</v>
      </c>
      <c r="N31" s="131"/>
      <c r="O31" s="131">
        <v>124</v>
      </c>
      <c r="P31" s="131">
        <v>7</v>
      </c>
      <c r="Q31" s="131">
        <v>1</v>
      </c>
      <c r="R31" s="131">
        <v>132</v>
      </c>
      <c r="S31" s="131"/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2">
        <v>41620</v>
      </c>
      <c r="Z31" s="131"/>
      <c r="AA31" s="131"/>
      <c r="AB31" s="131" t="str">
        <f t="shared" si="2"/>
        <v/>
      </c>
      <c r="AC31" s="131">
        <f t="shared" si="13"/>
        <v>2</v>
      </c>
      <c r="AD31" s="143" t="str">
        <f t="shared" si="11"/>
        <v>A</v>
      </c>
      <c r="AE31" s="145">
        <f t="shared" si="12"/>
        <v>446.5</v>
      </c>
      <c r="AF31" s="12" t="b">
        <f t="shared" si="1"/>
        <v>0</v>
      </c>
    </row>
    <row r="32" spans="1:32">
      <c r="A32" s="131" t="s">
        <v>416</v>
      </c>
      <c r="B32" s="131">
        <v>168</v>
      </c>
      <c r="C32" s="131">
        <v>3</v>
      </c>
      <c r="D32" s="131">
        <v>98</v>
      </c>
      <c r="E32" s="131"/>
      <c r="F32" s="131">
        <v>0</v>
      </c>
      <c r="G32" s="131"/>
      <c r="H32" s="131">
        <v>74</v>
      </c>
      <c r="I32" s="131"/>
      <c r="J32" s="131">
        <v>14</v>
      </c>
      <c r="K32" s="131"/>
      <c r="L32" s="131">
        <v>0</v>
      </c>
      <c r="M32" s="131" t="s">
        <v>1</v>
      </c>
      <c r="N32" s="131"/>
      <c r="O32" s="131">
        <v>56.5</v>
      </c>
      <c r="P32" s="131">
        <v>14</v>
      </c>
      <c r="Q32" s="131">
        <v>17.5</v>
      </c>
      <c r="R32" s="131">
        <v>88</v>
      </c>
      <c r="S32" s="131"/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2">
        <v>41620</v>
      </c>
      <c r="Z32" s="131"/>
      <c r="AA32" s="131"/>
      <c r="AB32" s="131" t="str">
        <f t="shared" si="2"/>
        <v/>
      </c>
      <c r="AC32" s="131">
        <f t="shared" si="13"/>
        <v>2</v>
      </c>
      <c r="AD32" s="143" t="str">
        <f t="shared" si="11"/>
        <v>A</v>
      </c>
      <c r="AE32" s="145">
        <f t="shared" si="12"/>
        <v>168</v>
      </c>
      <c r="AF32" s="12" t="b">
        <f t="shared" si="1"/>
        <v>0</v>
      </c>
    </row>
    <row r="33" spans="1:32">
      <c r="A33" s="131" t="s">
        <v>429</v>
      </c>
      <c r="B33" s="131">
        <v>854.8</v>
      </c>
      <c r="C33" s="131">
        <v>0</v>
      </c>
      <c r="D33" s="131">
        <v>248.2</v>
      </c>
      <c r="E33" s="131"/>
      <c r="F33" s="131">
        <v>0</v>
      </c>
      <c r="G33" s="131"/>
      <c r="H33" s="131">
        <v>205</v>
      </c>
      <c r="I33" s="131"/>
      <c r="J33" s="131">
        <v>66</v>
      </c>
      <c r="K33" s="131"/>
      <c r="L33" s="131">
        <v>0</v>
      </c>
      <c r="M33" s="131" t="s">
        <v>1</v>
      </c>
      <c r="N33" s="131"/>
      <c r="O33" s="131">
        <v>516</v>
      </c>
      <c r="P33" s="131">
        <v>64</v>
      </c>
      <c r="Q33" s="131">
        <v>0</v>
      </c>
      <c r="R33" s="131">
        <v>580</v>
      </c>
      <c r="S33" s="131"/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2">
        <v>41620</v>
      </c>
      <c r="Z33" s="131"/>
      <c r="AA33" s="131"/>
      <c r="AB33" s="131" t="str">
        <f t="shared" si="2"/>
        <v/>
      </c>
      <c r="AC33" s="131">
        <f t="shared" si="13"/>
        <v>2</v>
      </c>
      <c r="AD33" s="143" t="str">
        <f t="shared" si="11"/>
        <v>A</v>
      </c>
      <c r="AE33" s="145">
        <f t="shared" si="12"/>
        <v>854.8</v>
      </c>
      <c r="AF33" s="12" t="b">
        <f t="shared" si="1"/>
        <v>0</v>
      </c>
    </row>
    <row r="34" spans="1:32">
      <c r="A34" s="131" t="s">
        <v>433</v>
      </c>
      <c r="B34" s="131">
        <v>365.2</v>
      </c>
      <c r="C34" s="131">
        <v>5</v>
      </c>
      <c r="D34" s="131">
        <v>115.9</v>
      </c>
      <c r="E34" s="131"/>
      <c r="F34" s="131">
        <v>0</v>
      </c>
      <c r="G34" s="131"/>
      <c r="H34" s="131">
        <v>199</v>
      </c>
      <c r="I34" s="131"/>
      <c r="J34" s="131">
        <v>27</v>
      </c>
      <c r="K34" s="131"/>
      <c r="L34" s="131">
        <v>0</v>
      </c>
      <c r="M34" s="131" t="s">
        <v>1</v>
      </c>
      <c r="N34" s="131"/>
      <c r="O34" s="131">
        <v>71</v>
      </c>
      <c r="P34" s="131">
        <v>3</v>
      </c>
      <c r="Q34" s="131">
        <v>5</v>
      </c>
      <c r="R34" s="131">
        <v>79</v>
      </c>
      <c r="S34" s="131"/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32">
        <v>41620</v>
      </c>
      <c r="Z34" s="131"/>
      <c r="AA34" s="131"/>
      <c r="AB34" s="131" t="str">
        <f t="shared" si="2"/>
        <v/>
      </c>
      <c r="AC34" s="131">
        <f t="shared" si="13"/>
        <v>2</v>
      </c>
      <c r="AD34" s="143" t="str">
        <f t="shared" si="11"/>
        <v>A</v>
      </c>
      <c r="AE34" s="145">
        <f t="shared" si="12"/>
        <v>365.2</v>
      </c>
      <c r="AF34" s="12" t="b">
        <f t="shared" si="1"/>
        <v>0</v>
      </c>
    </row>
    <row r="35" spans="1:32">
      <c r="A35" s="131" t="s">
        <v>479</v>
      </c>
      <c r="B35" s="131">
        <v>324.2</v>
      </c>
      <c r="C35" s="131">
        <v>0</v>
      </c>
      <c r="D35" s="131">
        <v>80.8</v>
      </c>
      <c r="E35" s="131"/>
      <c r="F35" s="131">
        <v>0</v>
      </c>
      <c r="G35" s="131"/>
      <c r="H35" s="131">
        <v>139</v>
      </c>
      <c r="I35" s="131"/>
      <c r="J35" s="131">
        <v>29</v>
      </c>
      <c r="K35" s="131"/>
      <c r="L35" s="131">
        <v>0</v>
      </c>
      <c r="M35" s="131" t="s">
        <v>1</v>
      </c>
      <c r="N35" s="131"/>
      <c r="O35" s="131">
        <v>102</v>
      </c>
      <c r="P35" s="131">
        <v>6</v>
      </c>
      <c r="Q35" s="131">
        <v>2</v>
      </c>
      <c r="R35" s="131">
        <v>110</v>
      </c>
      <c r="S35" s="131"/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2">
        <v>41620</v>
      </c>
      <c r="Z35" s="131"/>
      <c r="AA35" s="131"/>
      <c r="AB35" s="131" t="str">
        <f t="shared" si="2"/>
        <v/>
      </c>
      <c r="AC35" s="131">
        <f t="shared" si="13"/>
        <v>2</v>
      </c>
      <c r="AD35" s="143" t="str">
        <f t="shared" ref="AD35" si="16">IF(Z35="", "A", "AM")</f>
        <v>A</v>
      </c>
      <c r="AE35" s="145">
        <f t="shared" ref="AE35" si="17">B35-T35</f>
        <v>324.2</v>
      </c>
      <c r="AF35" s="12" t="b">
        <f t="shared" si="1"/>
        <v>0</v>
      </c>
    </row>
    <row r="36" spans="1:32">
      <c r="A36" s="131" t="s">
        <v>517</v>
      </c>
      <c r="B36" s="131">
        <v>5738.4</v>
      </c>
      <c r="C36" s="131">
        <v>30</v>
      </c>
      <c r="D36" s="131">
        <v>524.9</v>
      </c>
      <c r="E36" s="131"/>
      <c r="F36" s="131">
        <v>116.9</v>
      </c>
      <c r="G36" s="131"/>
      <c r="H36" s="131">
        <v>1517</v>
      </c>
      <c r="I36" s="131"/>
      <c r="J36" s="131">
        <v>161</v>
      </c>
      <c r="K36" s="131"/>
      <c r="L36" s="131">
        <v>94.5</v>
      </c>
      <c r="M36" s="131" t="s">
        <v>1</v>
      </c>
      <c r="N36" s="131"/>
      <c r="O36" s="131">
        <v>3128.5</v>
      </c>
      <c r="P36" s="131">
        <v>2006</v>
      </c>
      <c r="Q36" s="131">
        <v>248.5</v>
      </c>
      <c r="R36" s="131">
        <v>5383</v>
      </c>
      <c r="S36" s="131"/>
      <c r="T36" s="131">
        <v>18.399999999999999</v>
      </c>
      <c r="U36" s="131">
        <v>0</v>
      </c>
      <c r="V36" s="131">
        <v>0</v>
      </c>
      <c r="W36" s="131">
        <v>0</v>
      </c>
      <c r="X36" s="131">
        <v>4</v>
      </c>
      <c r="Y36" s="132">
        <v>41620</v>
      </c>
      <c r="Z36" s="131"/>
      <c r="AA36" s="131"/>
      <c r="AB36" s="131" t="str">
        <f t="shared" si="2"/>
        <v/>
      </c>
      <c r="AC36" s="131">
        <f t="shared" si="13"/>
        <v>2</v>
      </c>
      <c r="AD36" s="143" t="str">
        <f t="shared" si="11"/>
        <v>A</v>
      </c>
      <c r="AE36" s="145">
        <f t="shared" si="12"/>
        <v>5720</v>
      </c>
      <c r="AF36" s="12" t="b">
        <f t="shared" si="1"/>
        <v>0</v>
      </c>
    </row>
    <row r="37" spans="1:32">
      <c r="A37" s="131" t="s">
        <v>538</v>
      </c>
      <c r="B37" s="131">
        <v>313</v>
      </c>
      <c r="C37" s="131">
        <v>0</v>
      </c>
      <c r="D37" s="131">
        <v>80.5</v>
      </c>
      <c r="E37" s="131"/>
      <c r="F37" s="131">
        <v>0</v>
      </c>
      <c r="G37" s="131"/>
      <c r="H37" s="131">
        <v>155</v>
      </c>
      <c r="I37" s="131"/>
      <c r="J37" s="131">
        <v>11</v>
      </c>
      <c r="K37" s="131"/>
      <c r="L37" s="131">
        <v>0</v>
      </c>
      <c r="M37" s="131" t="s">
        <v>1</v>
      </c>
      <c r="N37" s="131"/>
      <c r="O37" s="131">
        <v>138</v>
      </c>
      <c r="P37" s="131">
        <v>91.5</v>
      </c>
      <c r="Q37" s="131">
        <v>11</v>
      </c>
      <c r="R37" s="131">
        <v>240.5</v>
      </c>
      <c r="S37" s="131"/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2">
        <v>41620</v>
      </c>
      <c r="Z37" s="131"/>
      <c r="AA37" s="131"/>
      <c r="AB37" s="131" t="str">
        <f t="shared" si="2"/>
        <v/>
      </c>
      <c r="AC37" s="131">
        <f t="shared" si="13"/>
        <v>2</v>
      </c>
      <c r="AD37" s="143" t="str">
        <f t="shared" si="11"/>
        <v>A</v>
      </c>
      <c r="AE37" s="145">
        <f t="shared" si="12"/>
        <v>313</v>
      </c>
      <c r="AF37" s="12" t="b">
        <f t="shared" si="1"/>
        <v>0</v>
      </c>
    </row>
    <row r="38" spans="1:32">
      <c r="A38" s="131" t="s">
        <v>557</v>
      </c>
      <c r="B38" s="131">
        <v>659.5</v>
      </c>
      <c r="C38" s="131">
        <v>16</v>
      </c>
      <c r="D38" s="131">
        <v>44.2</v>
      </c>
      <c r="E38" s="131"/>
      <c r="F38" s="131">
        <v>2521.8000000000002</v>
      </c>
      <c r="G38" s="131"/>
      <c r="H38" s="131">
        <v>437</v>
      </c>
      <c r="I38" s="131"/>
      <c r="J38" s="131">
        <v>33</v>
      </c>
      <c r="K38" s="131"/>
      <c r="L38" s="131">
        <v>0</v>
      </c>
      <c r="M38" s="131" t="s">
        <v>1</v>
      </c>
      <c r="N38" s="131"/>
      <c r="O38" s="131">
        <v>594</v>
      </c>
      <c r="P38" s="131">
        <v>12</v>
      </c>
      <c r="Q38" s="131">
        <v>14</v>
      </c>
      <c r="R38" s="131">
        <v>620</v>
      </c>
      <c r="S38" s="131"/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2">
        <v>41620</v>
      </c>
      <c r="Z38" s="131"/>
      <c r="AA38" s="131"/>
      <c r="AB38" s="131" t="str">
        <f t="shared" si="2"/>
        <v/>
      </c>
      <c r="AC38" s="131">
        <f t="shared" si="13"/>
        <v>2</v>
      </c>
      <c r="AD38" s="143" t="str">
        <f t="shared" si="11"/>
        <v>A</v>
      </c>
      <c r="AE38" s="145">
        <f t="shared" si="12"/>
        <v>659.5</v>
      </c>
      <c r="AF38" s="12" t="b">
        <f t="shared" si="1"/>
        <v>0</v>
      </c>
    </row>
    <row r="39" spans="1:32">
      <c r="A39" s="131" t="s">
        <v>351</v>
      </c>
      <c r="B39" s="131">
        <v>615.5</v>
      </c>
      <c r="C39" s="131">
        <v>5.5</v>
      </c>
      <c r="D39" s="131">
        <v>133.30000000000001</v>
      </c>
      <c r="E39" s="131"/>
      <c r="F39" s="131">
        <v>0</v>
      </c>
      <c r="G39" s="131"/>
      <c r="H39" s="131">
        <v>284</v>
      </c>
      <c r="I39" s="131"/>
      <c r="J39" s="131">
        <v>82</v>
      </c>
      <c r="K39" s="131"/>
      <c r="L39" s="131">
        <v>0</v>
      </c>
      <c r="M39" s="131" t="s">
        <v>1</v>
      </c>
      <c r="N39" s="131"/>
      <c r="O39" s="131">
        <v>342</v>
      </c>
      <c r="P39" s="131">
        <v>50</v>
      </c>
      <c r="Q39" s="131">
        <v>30</v>
      </c>
      <c r="R39" s="131">
        <v>422</v>
      </c>
      <c r="S39" s="131"/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2">
        <v>41627</v>
      </c>
      <c r="Z39" s="131"/>
      <c r="AA39" s="131"/>
      <c r="AB39" s="131" t="str">
        <f t="shared" si="2"/>
        <v/>
      </c>
      <c r="AC39" s="131">
        <f t="shared" si="13"/>
        <v>3</v>
      </c>
      <c r="AD39" s="143" t="str">
        <f t="shared" ref="AD39:AD54" si="18">IF(Z39="", "A", "AM")</f>
        <v>A</v>
      </c>
      <c r="AE39" s="145">
        <f t="shared" ref="AE39:AE54" si="19">B39-T39</f>
        <v>615.5</v>
      </c>
      <c r="AF39" s="12" t="b">
        <f t="shared" si="1"/>
        <v>0</v>
      </c>
    </row>
    <row r="40" spans="1:32">
      <c r="A40" s="131" t="s">
        <v>374</v>
      </c>
      <c r="B40" s="131">
        <v>365.3</v>
      </c>
      <c r="C40" s="131">
        <v>0</v>
      </c>
      <c r="D40" s="131">
        <v>187.7</v>
      </c>
      <c r="E40" s="131"/>
      <c r="F40" s="131">
        <v>0</v>
      </c>
      <c r="G40" s="131"/>
      <c r="H40" s="131">
        <v>113</v>
      </c>
      <c r="I40" s="131"/>
      <c r="J40" s="131">
        <v>45</v>
      </c>
      <c r="K40" s="131"/>
      <c r="L40" s="131">
        <v>0</v>
      </c>
      <c r="M40" s="131" t="s">
        <v>1</v>
      </c>
      <c r="N40" s="131"/>
      <c r="O40" s="131">
        <v>34</v>
      </c>
      <c r="P40" s="131">
        <v>11</v>
      </c>
      <c r="Q40" s="131">
        <v>6</v>
      </c>
      <c r="R40" s="131">
        <v>51</v>
      </c>
      <c r="S40" s="131"/>
      <c r="T40" s="131">
        <v>0</v>
      </c>
      <c r="U40" s="131">
        <v>0</v>
      </c>
      <c r="V40" s="131">
        <v>0</v>
      </c>
      <c r="W40" s="131">
        <v>0</v>
      </c>
      <c r="X40" s="131">
        <v>0</v>
      </c>
      <c r="Y40" s="132">
        <v>41627</v>
      </c>
      <c r="Z40" s="131"/>
      <c r="AA40" s="131"/>
      <c r="AB40" s="131" t="str">
        <f t="shared" si="2"/>
        <v/>
      </c>
      <c r="AC40" s="131">
        <f t="shared" si="10"/>
        <v>3</v>
      </c>
      <c r="AD40" s="143" t="str">
        <f t="shared" si="18"/>
        <v>A</v>
      </c>
      <c r="AE40" s="145">
        <f t="shared" si="19"/>
        <v>365.3</v>
      </c>
      <c r="AF40" s="12" t="b">
        <f t="shared" si="1"/>
        <v>0</v>
      </c>
    </row>
    <row r="41" spans="1:32">
      <c r="A41" s="131" t="s">
        <v>381</v>
      </c>
      <c r="B41" s="131">
        <v>312.8</v>
      </c>
      <c r="C41" s="131">
        <v>3</v>
      </c>
      <c r="D41" s="131">
        <v>129.4</v>
      </c>
      <c r="E41" s="131"/>
      <c r="F41" s="131">
        <v>0</v>
      </c>
      <c r="G41" s="131"/>
      <c r="H41" s="131">
        <v>157</v>
      </c>
      <c r="I41" s="131"/>
      <c r="J41" s="131">
        <v>12</v>
      </c>
      <c r="K41" s="131"/>
      <c r="L41" s="131">
        <v>0</v>
      </c>
      <c r="M41" s="131" t="s">
        <v>1</v>
      </c>
      <c r="N41" s="131"/>
      <c r="O41" s="131">
        <v>174</v>
      </c>
      <c r="P41" s="131">
        <v>100</v>
      </c>
      <c r="Q41" s="131">
        <v>60</v>
      </c>
      <c r="R41" s="131">
        <v>334</v>
      </c>
      <c r="S41" s="131"/>
      <c r="T41" s="131">
        <v>0</v>
      </c>
      <c r="U41" s="131">
        <v>0</v>
      </c>
      <c r="V41" s="131">
        <v>0</v>
      </c>
      <c r="W41" s="131">
        <v>0</v>
      </c>
      <c r="X41" s="131">
        <v>0</v>
      </c>
      <c r="Y41" s="132">
        <v>41627</v>
      </c>
      <c r="Z41" s="131"/>
      <c r="AA41" s="131"/>
      <c r="AB41" s="131" t="str">
        <f t="shared" si="2"/>
        <v/>
      </c>
      <c r="AC41" s="131">
        <f t="shared" si="10"/>
        <v>3</v>
      </c>
      <c r="AD41" s="143" t="str">
        <f t="shared" si="18"/>
        <v>A</v>
      </c>
      <c r="AE41" s="145">
        <f t="shared" si="19"/>
        <v>312.8</v>
      </c>
      <c r="AF41" s="12" t="b">
        <f t="shared" si="1"/>
        <v>0</v>
      </c>
    </row>
    <row r="42" spans="1:32">
      <c r="A42" s="131" t="s">
        <v>385</v>
      </c>
      <c r="B42" s="131">
        <v>334.2</v>
      </c>
      <c r="C42" s="131">
        <v>5.5</v>
      </c>
      <c r="D42" s="131">
        <v>85.5</v>
      </c>
      <c r="E42" s="131"/>
      <c r="F42" s="131">
        <v>0</v>
      </c>
      <c r="G42" s="131"/>
      <c r="H42" s="131">
        <v>179</v>
      </c>
      <c r="I42" s="131"/>
      <c r="J42" s="131">
        <v>20</v>
      </c>
      <c r="K42" s="131"/>
      <c r="L42" s="131">
        <v>0</v>
      </c>
      <c r="M42" s="131" t="s">
        <v>1</v>
      </c>
      <c r="N42" s="131"/>
      <c r="O42" s="131">
        <v>123.5</v>
      </c>
      <c r="P42" s="131">
        <v>16</v>
      </c>
      <c r="Q42" s="131">
        <v>23</v>
      </c>
      <c r="R42" s="131">
        <v>162.5</v>
      </c>
      <c r="S42" s="131"/>
      <c r="T42" s="131">
        <v>0</v>
      </c>
      <c r="U42" s="131">
        <v>0</v>
      </c>
      <c r="V42" s="131">
        <v>0</v>
      </c>
      <c r="W42" s="131">
        <v>0</v>
      </c>
      <c r="X42" s="131">
        <v>1</v>
      </c>
      <c r="Y42" s="132">
        <v>41627</v>
      </c>
      <c r="Z42" s="131"/>
      <c r="AA42" s="131"/>
      <c r="AB42" s="131" t="str">
        <f t="shared" si="2"/>
        <v/>
      </c>
      <c r="AC42" s="131">
        <f t="shared" si="10"/>
        <v>3</v>
      </c>
      <c r="AD42" s="143" t="str">
        <f t="shared" si="18"/>
        <v>A</v>
      </c>
      <c r="AE42" s="145">
        <f t="shared" si="19"/>
        <v>334.2</v>
      </c>
      <c r="AF42" s="12" t="b">
        <f t="shared" si="1"/>
        <v>0</v>
      </c>
    </row>
    <row r="43" spans="1:32">
      <c r="A43" s="131" t="s">
        <v>445</v>
      </c>
      <c r="B43" s="131">
        <v>582.5</v>
      </c>
      <c r="C43" s="131">
        <v>11</v>
      </c>
      <c r="D43" s="131">
        <v>108.4</v>
      </c>
      <c r="E43" s="131"/>
      <c r="F43" s="131">
        <v>0</v>
      </c>
      <c r="G43" s="131"/>
      <c r="H43" s="131">
        <v>213</v>
      </c>
      <c r="I43" s="131"/>
      <c r="J43" s="131">
        <v>39</v>
      </c>
      <c r="K43" s="131"/>
      <c r="L43" s="131">
        <v>0</v>
      </c>
      <c r="M43" s="131" t="s">
        <v>1</v>
      </c>
      <c r="N43" s="131"/>
      <c r="O43" s="131">
        <v>191</v>
      </c>
      <c r="P43" s="131">
        <v>30</v>
      </c>
      <c r="Q43" s="131">
        <v>13</v>
      </c>
      <c r="R43" s="131">
        <v>234</v>
      </c>
      <c r="S43" s="131"/>
      <c r="T43" s="131">
        <v>0</v>
      </c>
      <c r="U43" s="131">
        <v>0</v>
      </c>
      <c r="V43" s="131">
        <v>0</v>
      </c>
      <c r="W43" s="131">
        <v>0</v>
      </c>
      <c r="X43" s="131">
        <v>0</v>
      </c>
      <c r="Y43" s="132">
        <v>41627</v>
      </c>
      <c r="Z43" s="131"/>
      <c r="AA43" s="131"/>
      <c r="AB43" s="131" t="str">
        <f t="shared" si="2"/>
        <v/>
      </c>
      <c r="AC43" s="131">
        <f t="shared" si="10"/>
        <v>3</v>
      </c>
      <c r="AD43" s="143" t="str">
        <f t="shared" si="18"/>
        <v>A</v>
      </c>
      <c r="AE43" s="145">
        <f t="shared" si="19"/>
        <v>582.5</v>
      </c>
      <c r="AF43" s="12" t="b">
        <f t="shared" si="1"/>
        <v>0</v>
      </c>
    </row>
    <row r="44" spans="1:32">
      <c r="A44" s="131" t="s">
        <v>446</v>
      </c>
      <c r="B44" s="131">
        <v>333.2</v>
      </c>
      <c r="C44" s="131">
        <v>2</v>
      </c>
      <c r="D44" s="131">
        <v>81.900000000000006</v>
      </c>
      <c r="E44" s="131"/>
      <c r="F44" s="131">
        <v>0</v>
      </c>
      <c r="G44" s="131"/>
      <c r="H44" s="131">
        <v>128</v>
      </c>
      <c r="I44" s="131"/>
      <c r="J44" s="131">
        <v>30</v>
      </c>
      <c r="K44" s="131"/>
      <c r="L44" s="131">
        <v>0</v>
      </c>
      <c r="M44" s="131" t="s">
        <v>1</v>
      </c>
      <c r="N44" s="131"/>
      <c r="O44" s="131">
        <v>96</v>
      </c>
      <c r="P44" s="131">
        <v>16</v>
      </c>
      <c r="Q44" s="131">
        <v>24.5</v>
      </c>
      <c r="R44" s="131">
        <v>136.5</v>
      </c>
      <c r="S44" s="131"/>
      <c r="T44" s="131">
        <v>18</v>
      </c>
      <c r="U44" s="131">
        <v>0</v>
      </c>
      <c r="V44" s="131">
        <v>0</v>
      </c>
      <c r="W44" s="131">
        <v>0</v>
      </c>
      <c r="X44" s="131">
        <v>0</v>
      </c>
      <c r="Y44" s="132">
        <v>41627</v>
      </c>
      <c r="Z44" s="131"/>
      <c r="AA44" s="131"/>
      <c r="AB44" s="131" t="str">
        <f t="shared" si="2"/>
        <v/>
      </c>
      <c r="AC44" s="131">
        <f t="shared" si="10"/>
        <v>3</v>
      </c>
      <c r="AD44" s="143" t="str">
        <f t="shared" si="18"/>
        <v>A</v>
      </c>
      <c r="AE44" s="145">
        <f t="shared" si="19"/>
        <v>315.2</v>
      </c>
      <c r="AF44" s="12" t="b">
        <f t="shared" si="1"/>
        <v>0</v>
      </c>
    </row>
    <row r="45" spans="1:32">
      <c r="A45" s="131" t="s">
        <v>449</v>
      </c>
      <c r="B45" s="131">
        <v>828.7</v>
      </c>
      <c r="C45" s="131">
        <v>10.5</v>
      </c>
      <c r="D45" s="131">
        <v>180.5</v>
      </c>
      <c r="E45" s="131"/>
      <c r="F45" s="131">
        <v>81.099999999999994</v>
      </c>
      <c r="G45" s="131"/>
      <c r="H45" s="131">
        <v>455</v>
      </c>
      <c r="I45" s="131"/>
      <c r="J45" s="131">
        <v>33</v>
      </c>
      <c r="K45" s="131"/>
      <c r="L45" s="131">
        <v>0</v>
      </c>
      <c r="M45" s="131" t="s">
        <v>1</v>
      </c>
      <c r="N45" s="131"/>
      <c r="O45" s="131">
        <v>324</v>
      </c>
      <c r="P45" s="131">
        <v>37</v>
      </c>
      <c r="Q45" s="131">
        <v>7</v>
      </c>
      <c r="R45" s="131">
        <v>368</v>
      </c>
      <c r="S45" s="131"/>
      <c r="T45" s="131">
        <v>0</v>
      </c>
      <c r="U45" s="131">
        <v>0</v>
      </c>
      <c r="V45" s="131">
        <v>0</v>
      </c>
      <c r="W45" s="131">
        <v>0</v>
      </c>
      <c r="X45" s="131">
        <v>0</v>
      </c>
      <c r="Y45" s="132">
        <v>41627</v>
      </c>
      <c r="Z45" s="131"/>
      <c r="AA45" s="131"/>
      <c r="AB45" s="131" t="str">
        <f t="shared" si="2"/>
        <v/>
      </c>
      <c r="AC45" s="131">
        <f t="shared" si="10"/>
        <v>3</v>
      </c>
      <c r="AD45" s="143" t="str">
        <f t="shared" si="18"/>
        <v>A</v>
      </c>
      <c r="AE45" s="145">
        <f t="shared" si="19"/>
        <v>828.7</v>
      </c>
      <c r="AF45" s="12" t="b">
        <f t="shared" si="1"/>
        <v>0</v>
      </c>
    </row>
    <row r="46" spans="1:32">
      <c r="A46" s="131" t="s">
        <v>474</v>
      </c>
      <c r="B46" s="131">
        <v>184.5</v>
      </c>
      <c r="C46" s="131">
        <v>2</v>
      </c>
      <c r="D46" s="131">
        <v>13.3</v>
      </c>
      <c r="E46" s="131"/>
      <c r="F46" s="131">
        <v>0</v>
      </c>
      <c r="G46" s="131"/>
      <c r="H46" s="131">
        <v>97</v>
      </c>
      <c r="I46" s="131"/>
      <c r="J46" s="131">
        <v>22</v>
      </c>
      <c r="K46" s="131"/>
      <c r="L46" s="131">
        <v>0</v>
      </c>
      <c r="M46" s="131" t="s">
        <v>1</v>
      </c>
      <c r="N46" s="131"/>
      <c r="O46" s="131">
        <v>103</v>
      </c>
      <c r="P46" s="131">
        <v>60</v>
      </c>
      <c r="Q46" s="131">
        <v>35</v>
      </c>
      <c r="R46" s="131">
        <v>198</v>
      </c>
      <c r="S46" s="131"/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2">
        <v>41627</v>
      </c>
      <c r="Z46" s="131"/>
      <c r="AA46" s="131"/>
      <c r="AB46" s="131" t="str">
        <f t="shared" si="2"/>
        <v/>
      </c>
      <c r="AC46" s="131">
        <f t="shared" si="10"/>
        <v>3</v>
      </c>
      <c r="AD46" s="143" t="str">
        <f t="shared" si="18"/>
        <v>A</v>
      </c>
      <c r="AE46" s="145">
        <f t="shared" si="19"/>
        <v>184.5</v>
      </c>
      <c r="AF46" s="12" t="b">
        <f t="shared" si="1"/>
        <v>0</v>
      </c>
    </row>
    <row r="47" spans="1:32">
      <c r="A47" s="131" t="s">
        <v>511</v>
      </c>
      <c r="B47" s="131">
        <v>563.20000000000005</v>
      </c>
      <c r="C47" s="131">
        <v>0</v>
      </c>
      <c r="D47" s="131">
        <v>159</v>
      </c>
      <c r="E47" s="131"/>
      <c r="F47" s="131">
        <v>102.8</v>
      </c>
      <c r="G47" s="131"/>
      <c r="H47" s="131">
        <v>327</v>
      </c>
      <c r="I47" s="131"/>
      <c r="J47" s="131">
        <v>21</v>
      </c>
      <c r="K47" s="131"/>
      <c r="L47" s="131">
        <v>0</v>
      </c>
      <c r="M47" s="131" t="s">
        <v>1</v>
      </c>
      <c r="N47" s="131"/>
      <c r="O47" s="131">
        <v>315.5</v>
      </c>
      <c r="P47" s="131">
        <v>30</v>
      </c>
      <c r="Q47" s="131">
        <v>33</v>
      </c>
      <c r="R47" s="131">
        <v>378.5</v>
      </c>
      <c r="S47" s="131"/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32">
        <v>41627</v>
      </c>
      <c r="Z47" s="131"/>
      <c r="AA47" s="131"/>
      <c r="AB47" s="131" t="str">
        <f t="shared" si="2"/>
        <v/>
      </c>
      <c r="AC47" s="131">
        <f t="shared" si="10"/>
        <v>3</v>
      </c>
      <c r="AD47" s="143" t="str">
        <f t="shared" si="18"/>
        <v>A</v>
      </c>
      <c r="AE47" s="145">
        <f t="shared" si="19"/>
        <v>563.20000000000005</v>
      </c>
      <c r="AF47" s="12" t="b">
        <f t="shared" si="1"/>
        <v>0</v>
      </c>
    </row>
    <row r="48" spans="1:32">
      <c r="A48" s="131" t="s">
        <v>525</v>
      </c>
      <c r="B48" s="131">
        <v>892.4</v>
      </c>
      <c r="C48" s="131">
        <v>10</v>
      </c>
      <c r="D48" s="131">
        <v>117.1</v>
      </c>
      <c r="E48" s="131"/>
      <c r="F48" s="131">
        <v>0</v>
      </c>
      <c r="G48" s="131"/>
      <c r="H48" s="131">
        <v>430</v>
      </c>
      <c r="I48" s="131"/>
      <c r="J48" s="131">
        <v>53</v>
      </c>
      <c r="K48" s="131"/>
      <c r="L48" s="131">
        <v>0</v>
      </c>
      <c r="M48" s="131" t="s">
        <v>1</v>
      </c>
      <c r="N48" s="131"/>
      <c r="O48" s="131">
        <v>139.5</v>
      </c>
      <c r="P48" s="131">
        <v>78.5</v>
      </c>
      <c r="Q48" s="131">
        <v>9</v>
      </c>
      <c r="R48" s="131">
        <v>227</v>
      </c>
      <c r="S48" s="131"/>
      <c r="T48" s="131">
        <v>93</v>
      </c>
      <c r="U48" s="131">
        <v>0</v>
      </c>
      <c r="V48" s="131">
        <v>0</v>
      </c>
      <c r="W48" s="131">
        <v>0</v>
      </c>
      <c r="X48" s="131">
        <v>0</v>
      </c>
      <c r="Y48" s="132">
        <v>41627</v>
      </c>
      <c r="Z48" s="131"/>
      <c r="AA48" s="131"/>
      <c r="AB48" s="131" t="str">
        <f t="shared" si="2"/>
        <v/>
      </c>
      <c r="AC48" s="131">
        <f t="shared" si="10"/>
        <v>3</v>
      </c>
      <c r="AD48" s="143" t="str">
        <f t="shared" si="18"/>
        <v>A</v>
      </c>
      <c r="AE48" s="145">
        <f t="shared" si="19"/>
        <v>799.4</v>
      </c>
      <c r="AF48" s="12" t="b">
        <f t="shared" si="1"/>
        <v>0</v>
      </c>
    </row>
    <row r="49" spans="1:32">
      <c r="A49" s="131" t="s">
        <v>565</v>
      </c>
      <c r="B49" s="131">
        <v>470</v>
      </c>
      <c r="C49" s="131">
        <v>10</v>
      </c>
      <c r="D49" s="131">
        <v>63.3</v>
      </c>
      <c r="E49" s="131"/>
      <c r="F49" s="131">
        <v>1057.8</v>
      </c>
      <c r="G49" s="131"/>
      <c r="H49" s="131">
        <v>263</v>
      </c>
      <c r="I49" s="131"/>
      <c r="J49" s="131">
        <v>35</v>
      </c>
      <c r="K49" s="131"/>
      <c r="L49" s="131">
        <v>0</v>
      </c>
      <c r="M49" s="131" t="s">
        <v>1</v>
      </c>
      <c r="N49" s="131"/>
      <c r="O49" s="131">
        <v>79</v>
      </c>
      <c r="P49" s="131">
        <v>1</v>
      </c>
      <c r="Q49" s="131">
        <v>2</v>
      </c>
      <c r="R49" s="131">
        <v>82</v>
      </c>
      <c r="S49" s="131"/>
      <c r="T49" s="131">
        <v>0</v>
      </c>
      <c r="U49" s="131">
        <v>0</v>
      </c>
      <c r="V49" s="131">
        <v>0</v>
      </c>
      <c r="W49" s="131">
        <v>0</v>
      </c>
      <c r="X49" s="131">
        <v>0</v>
      </c>
      <c r="Y49" s="132">
        <v>41627</v>
      </c>
      <c r="Z49" s="131"/>
      <c r="AA49" s="131"/>
      <c r="AB49" s="131" t="str">
        <f t="shared" si="2"/>
        <v/>
      </c>
      <c r="AC49" s="131">
        <f t="shared" ref="AC49" si="20">IF(Y49=Y48,AC48,AC48+1)</f>
        <v>3</v>
      </c>
      <c r="AD49" s="143" t="str">
        <f t="shared" ref="AD49" si="21">IF(Z49="", "A", "AM")</f>
        <v>A</v>
      </c>
      <c r="AE49" s="145">
        <f t="shared" ref="AE49" si="22">B49-T49</f>
        <v>470</v>
      </c>
      <c r="AF49" s="12" t="b">
        <f t="shared" si="1"/>
        <v>0</v>
      </c>
    </row>
    <row r="50" spans="1:32">
      <c r="A50" s="131" t="s">
        <v>574</v>
      </c>
      <c r="B50" s="131">
        <v>1229.4000000000001</v>
      </c>
      <c r="C50" s="131">
        <v>12</v>
      </c>
      <c r="D50" s="131">
        <v>279.7</v>
      </c>
      <c r="E50" s="131"/>
      <c r="F50" s="131">
        <v>0</v>
      </c>
      <c r="G50" s="131"/>
      <c r="H50" s="131">
        <v>773</v>
      </c>
      <c r="I50" s="131"/>
      <c r="J50" s="131">
        <v>30</v>
      </c>
      <c r="K50" s="131"/>
      <c r="L50" s="131">
        <v>0</v>
      </c>
      <c r="M50" s="131" t="s">
        <v>1</v>
      </c>
      <c r="N50" s="131"/>
      <c r="O50" s="131">
        <v>15</v>
      </c>
      <c r="P50" s="131">
        <v>29</v>
      </c>
      <c r="Q50" s="131">
        <v>3</v>
      </c>
      <c r="R50" s="131">
        <v>47</v>
      </c>
      <c r="S50" s="131"/>
      <c r="T50" s="131">
        <v>0</v>
      </c>
      <c r="U50" s="131">
        <v>0</v>
      </c>
      <c r="V50" s="131">
        <v>0</v>
      </c>
      <c r="W50" s="131">
        <v>0</v>
      </c>
      <c r="X50" s="131">
        <v>0</v>
      </c>
      <c r="Y50" s="132">
        <v>41627</v>
      </c>
      <c r="Z50" s="131"/>
      <c r="AA50" s="131"/>
      <c r="AB50" s="131" t="str">
        <f t="shared" si="2"/>
        <v/>
      </c>
      <c r="AC50" s="131">
        <f t="shared" si="10"/>
        <v>3</v>
      </c>
      <c r="AD50" s="143" t="str">
        <f t="shared" si="18"/>
        <v>A</v>
      </c>
      <c r="AE50" s="145">
        <f t="shared" si="19"/>
        <v>1229.4000000000001</v>
      </c>
      <c r="AF50" s="12" t="b">
        <f t="shared" si="1"/>
        <v>0</v>
      </c>
    </row>
    <row r="51" spans="1:32">
      <c r="A51" s="131" t="s">
        <v>546</v>
      </c>
      <c r="B51" s="131">
        <v>2590.5</v>
      </c>
      <c r="C51" s="131">
        <v>54.5</v>
      </c>
      <c r="D51" s="131">
        <v>653.29999999999995</v>
      </c>
      <c r="E51" s="131"/>
      <c r="F51" s="131">
        <v>878.2</v>
      </c>
      <c r="G51" s="131"/>
      <c r="H51" s="131">
        <v>1682</v>
      </c>
      <c r="I51" s="131"/>
      <c r="J51" s="131">
        <v>129</v>
      </c>
      <c r="K51" s="131"/>
      <c r="L51" s="131">
        <v>32.700000000000003</v>
      </c>
      <c r="M51" s="131" t="s">
        <v>1</v>
      </c>
      <c r="N51" s="131"/>
      <c r="O51" s="131">
        <v>828</v>
      </c>
      <c r="P51" s="131">
        <v>10</v>
      </c>
      <c r="Q51" s="131">
        <v>2</v>
      </c>
      <c r="R51" s="131">
        <v>840</v>
      </c>
      <c r="S51" s="131"/>
      <c r="T51" s="131">
        <v>0</v>
      </c>
      <c r="U51" s="131">
        <v>0</v>
      </c>
      <c r="V51" s="131">
        <v>0</v>
      </c>
      <c r="W51" s="131">
        <v>0</v>
      </c>
      <c r="X51" s="131">
        <v>0</v>
      </c>
      <c r="Y51" s="132">
        <v>41646</v>
      </c>
      <c r="Z51" s="131"/>
      <c r="AA51" s="131"/>
      <c r="AB51" s="131" t="str">
        <f t="shared" si="2"/>
        <v/>
      </c>
      <c r="AC51" s="131">
        <f t="shared" ref="AC51:AC53" si="23">IF(Y51=Y50,AC50,AC50+1)</f>
        <v>4</v>
      </c>
      <c r="AD51" s="143" t="str">
        <f t="shared" ref="AD51:AD53" si="24">IF(Z51="", "A", "AM")</f>
        <v>A</v>
      </c>
      <c r="AE51" s="145">
        <f t="shared" ref="AE51:AE53" si="25">B51-T51</f>
        <v>2590.5</v>
      </c>
      <c r="AF51" s="12" t="b">
        <f t="shared" si="1"/>
        <v>0</v>
      </c>
    </row>
    <row r="52" spans="1:32">
      <c r="A52" s="131" t="s">
        <v>562</v>
      </c>
      <c r="B52" s="131">
        <v>1571.7</v>
      </c>
      <c r="C52" s="131">
        <v>0</v>
      </c>
      <c r="D52" s="131">
        <v>506.9</v>
      </c>
      <c r="E52" s="131"/>
      <c r="F52" s="131">
        <v>21.6</v>
      </c>
      <c r="G52" s="131"/>
      <c r="H52" s="131">
        <v>462</v>
      </c>
      <c r="I52" s="131"/>
      <c r="J52" s="131">
        <v>110</v>
      </c>
      <c r="K52" s="131"/>
      <c r="L52" s="131">
        <v>0</v>
      </c>
      <c r="M52" s="131" t="s">
        <v>1</v>
      </c>
      <c r="N52" s="131"/>
      <c r="O52" s="131">
        <v>153</v>
      </c>
      <c r="P52" s="131">
        <v>44</v>
      </c>
      <c r="Q52" s="131">
        <v>0</v>
      </c>
      <c r="R52" s="131">
        <v>197</v>
      </c>
      <c r="S52" s="131"/>
      <c r="T52" s="131">
        <v>0</v>
      </c>
      <c r="U52" s="131">
        <v>0</v>
      </c>
      <c r="V52" s="131">
        <v>0</v>
      </c>
      <c r="W52" s="131">
        <v>0</v>
      </c>
      <c r="X52" s="131">
        <v>0</v>
      </c>
      <c r="Y52" s="132">
        <v>41646</v>
      </c>
      <c r="Z52" s="131"/>
      <c r="AA52" s="131"/>
      <c r="AB52" s="131" t="str">
        <f t="shared" si="2"/>
        <v/>
      </c>
      <c r="AC52" s="131">
        <f t="shared" si="23"/>
        <v>4</v>
      </c>
      <c r="AD52" s="143" t="str">
        <f t="shared" si="24"/>
        <v>A</v>
      </c>
      <c r="AE52" s="145">
        <f t="shared" si="25"/>
        <v>1571.7</v>
      </c>
      <c r="AF52" s="12" t="b">
        <f t="shared" si="1"/>
        <v>0</v>
      </c>
    </row>
    <row r="53" spans="1:32">
      <c r="A53" s="131" t="s">
        <v>572</v>
      </c>
      <c r="B53" s="131">
        <v>13092</v>
      </c>
      <c r="C53" s="131">
        <v>100</v>
      </c>
      <c r="D53" s="131">
        <v>1240.0999999999999</v>
      </c>
      <c r="E53" s="131"/>
      <c r="F53" s="131">
        <v>2216.9</v>
      </c>
      <c r="G53" s="131"/>
      <c r="H53" s="131">
        <v>9586</v>
      </c>
      <c r="I53" s="131"/>
      <c r="J53" s="131">
        <v>639</v>
      </c>
      <c r="K53" s="131"/>
      <c r="L53" s="131">
        <v>380.7</v>
      </c>
      <c r="M53" s="131" t="s">
        <v>1</v>
      </c>
      <c r="N53" s="131"/>
      <c r="O53" s="131">
        <v>1568</v>
      </c>
      <c r="P53" s="131">
        <v>2572</v>
      </c>
      <c r="Q53" s="131">
        <v>1</v>
      </c>
      <c r="R53" s="131">
        <v>4141</v>
      </c>
      <c r="S53" s="131"/>
      <c r="T53" s="131">
        <v>234.8</v>
      </c>
      <c r="U53" s="131">
        <v>0</v>
      </c>
      <c r="V53" s="131">
        <v>0</v>
      </c>
      <c r="W53" s="131">
        <v>0</v>
      </c>
      <c r="X53" s="131">
        <v>2</v>
      </c>
      <c r="Y53" s="132">
        <v>41646</v>
      </c>
      <c r="Z53" s="131"/>
      <c r="AA53" s="131"/>
      <c r="AB53" s="131" t="str">
        <f t="shared" si="2"/>
        <v/>
      </c>
      <c r="AC53" s="131">
        <f t="shared" si="23"/>
        <v>4</v>
      </c>
      <c r="AD53" s="143" t="str">
        <f t="shared" si="24"/>
        <v>A</v>
      </c>
      <c r="AE53" s="145">
        <f t="shared" si="25"/>
        <v>12857.2</v>
      </c>
      <c r="AF53" s="12" t="b">
        <f t="shared" si="1"/>
        <v>0</v>
      </c>
    </row>
    <row r="54" spans="1:32">
      <c r="A54" s="131" t="s">
        <v>434</v>
      </c>
      <c r="B54" s="131">
        <v>3699.7</v>
      </c>
      <c r="C54" s="131">
        <v>19</v>
      </c>
      <c r="D54" s="131">
        <v>654.79999999999995</v>
      </c>
      <c r="E54" s="131"/>
      <c r="F54" s="131">
        <v>19.100000000000001</v>
      </c>
      <c r="G54" s="131"/>
      <c r="H54" s="131">
        <v>1088</v>
      </c>
      <c r="I54" s="131"/>
      <c r="J54" s="131">
        <v>233</v>
      </c>
      <c r="K54" s="131"/>
      <c r="L54" s="131">
        <v>0</v>
      </c>
      <c r="M54" s="131" t="s">
        <v>1</v>
      </c>
      <c r="N54" s="131"/>
      <c r="O54" s="131">
        <v>1710</v>
      </c>
      <c r="P54" s="131">
        <v>1795</v>
      </c>
      <c r="Q54" s="131">
        <v>65</v>
      </c>
      <c r="R54" s="131">
        <v>3570</v>
      </c>
      <c r="S54" s="131"/>
      <c r="T54" s="131">
        <v>13.2</v>
      </c>
      <c r="U54" s="131">
        <v>0</v>
      </c>
      <c r="V54" s="131">
        <v>0</v>
      </c>
      <c r="W54" s="131">
        <v>0</v>
      </c>
      <c r="X54" s="131">
        <v>3</v>
      </c>
      <c r="Y54" s="132">
        <v>41654</v>
      </c>
      <c r="Z54" s="131"/>
      <c r="AA54" s="131"/>
      <c r="AB54" s="131" t="str">
        <f t="shared" si="2"/>
        <v/>
      </c>
      <c r="AC54" s="131">
        <f t="shared" si="10"/>
        <v>5</v>
      </c>
      <c r="AD54" s="143" t="str">
        <f t="shared" si="18"/>
        <v>A</v>
      </c>
      <c r="AE54" s="145">
        <f t="shared" si="19"/>
        <v>3686.5</v>
      </c>
      <c r="AF54" s="12" t="b">
        <f t="shared" si="1"/>
        <v>0</v>
      </c>
    </row>
    <row r="55" spans="1:32">
      <c r="A55" s="131" t="s">
        <v>582</v>
      </c>
      <c r="B55" s="131">
        <v>26100</v>
      </c>
      <c r="C55" s="131">
        <v>51.5</v>
      </c>
      <c r="D55" s="131">
        <v>3758</v>
      </c>
      <c r="E55" s="131"/>
      <c r="F55" s="131">
        <v>6982.3</v>
      </c>
      <c r="G55" s="131"/>
      <c r="H55" s="131">
        <v>8016</v>
      </c>
      <c r="I55" s="131"/>
      <c r="J55" s="131">
        <v>1480</v>
      </c>
      <c r="K55" s="131"/>
      <c r="L55" s="131">
        <v>914.6</v>
      </c>
      <c r="M55" s="131" t="s">
        <v>1</v>
      </c>
      <c r="N55" s="131"/>
      <c r="O55" s="131">
        <v>5235</v>
      </c>
      <c r="P55" s="131">
        <v>1377</v>
      </c>
      <c r="Q55" s="131">
        <v>0</v>
      </c>
      <c r="R55" s="131">
        <v>6612</v>
      </c>
      <c r="S55" s="131"/>
      <c r="T55" s="131">
        <v>0</v>
      </c>
      <c r="U55" s="131">
        <v>0</v>
      </c>
      <c r="V55" s="131">
        <v>0</v>
      </c>
      <c r="W55" s="131">
        <v>0</v>
      </c>
      <c r="X55" s="131">
        <v>1</v>
      </c>
      <c r="Y55" s="132">
        <v>41654</v>
      </c>
      <c r="Z55" s="131"/>
      <c r="AA55" s="131"/>
      <c r="AB55" s="131" t="str">
        <f t="shared" si="2"/>
        <v/>
      </c>
      <c r="AC55" s="131">
        <f t="shared" si="10"/>
        <v>5</v>
      </c>
      <c r="AD55" s="143" t="str">
        <f t="shared" ref="AD55" si="26">IF(Z55="", "A", "AM")</f>
        <v>A</v>
      </c>
      <c r="AE55" s="145">
        <f t="shared" ref="AE55" si="27">B55-T55</f>
        <v>26100</v>
      </c>
      <c r="AF55" s="12" t="b">
        <f t="shared" si="1"/>
        <v>0</v>
      </c>
    </row>
    <row r="56" spans="1:32">
      <c r="A56" s="131" t="s">
        <v>308</v>
      </c>
      <c r="B56" s="131">
        <v>1071.7</v>
      </c>
      <c r="C56" s="131">
        <v>6.5</v>
      </c>
      <c r="D56" s="131">
        <v>288.7</v>
      </c>
      <c r="E56" s="131"/>
      <c r="F56" s="131">
        <v>3.6</v>
      </c>
      <c r="G56" s="131"/>
      <c r="H56" s="131">
        <v>267</v>
      </c>
      <c r="I56" s="131"/>
      <c r="J56" s="131">
        <v>54</v>
      </c>
      <c r="K56" s="131"/>
      <c r="L56" s="131">
        <v>0</v>
      </c>
      <c r="M56" s="131" t="s">
        <v>1</v>
      </c>
      <c r="N56" s="131"/>
      <c r="O56" s="131">
        <v>429.4</v>
      </c>
      <c r="P56" s="131">
        <v>60.8</v>
      </c>
      <c r="Q56" s="131">
        <v>98.1</v>
      </c>
      <c r="R56" s="131">
        <v>588.29999999999995</v>
      </c>
      <c r="S56" s="131"/>
      <c r="T56" s="131">
        <v>0</v>
      </c>
      <c r="U56" s="131">
        <v>0</v>
      </c>
      <c r="V56" s="131">
        <v>0</v>
      </c>
      <c r="W56" s="131">
        <v>0</v>
      </c>
      <c r="X56" s="131">
        <v>0</v>
      </c>
      <c r="Y56" s="132">
        <v>41660</v>
      </c>
      <c r="Z56" s="131"/>
      <c r="AA56" s="131"/>
      <c r="AB56" s="131" t="str">
        <f t="shared" si="2"/>
        <v/>
      </c>
      <c r="AC56" s="131">
        <f t="shared" ref="AC56:AC66" si="28">IF(Y56=Y55,AC55,AC55+1)</f>
        <v>6</v>
      </c>
      <c r="AD56" s="143" t="str">
        <f t="shared" ref="AD56:AD66" si="29">IF(Z56="", "A", "AM")</f>
        <v>A</v>
      </c>
      <c r="AE56" s="145">
        <f t="shared" ref="AE56:AE66" si="30">B56-T56</f>
        <v>1071.7</v>
      </c>
      <c r="AF56" s="12" t="b">
        <f t="shared" si="1"/>
        <v>0</v>
      </c>
    </row>
    <row r="57" spans="1:32">
      <c r="A57" s="131" t="s">
        <v>342</v>
      </c>
      <c r="B57" s="131">
        <v>376.8</v>
      </c>
      <c r="C57" s="131">
        <v>0</v>
      </c>
      <c r="D57" s="131">
        <v>141.30000000000001</v>
      </c>
      <c r="E57" s="131"/>
      <c r="F57" s="131">
        <v>0</v>
      </c>
      <c r="G57" s="131"/>
      <c r="H57" s="131">
        <v>126</v>
      </c>
      <c r="I57" s="131"/>
      <c r="J57" s="131">
        <v>27</v>
      </c>
      <c r="K57" s="131"/>
      <c r="L57" s="131">
        <v>0</v>
      </c>
      <c r="M57" s="131" t="s">
        <v>1</v>
      </c>
      <c r="N57" s="131"/>
      <c r="O57" s="131">
        <v>121</v>
      </c>
      <c r="P57" s="131">
        <v>29</v>
      </c>
      <c r="Q57" s="131">
        <v>25</v>
      </c>
      <c r="R57" s="131">
        <v>175</v>
      </c>
      <c r="S57" s="131"/>
      <c r="T57" s="131">
        <v>0</v>
      </c>
      <c r="U57" s="131">
        <v>0</v>
      </c>
      <c r="V57" s="131">
        <v>0</v>
      </c>
      <c r="W57" s="131">
        <v>0</v>
      </c>
      <c r="X57" s="131">
        <v>0</v>
      </c>
      <c r="Y57" s="132">
        <v>41660</v>
      </c>
      <c r="Z57" s="131"/>
      <c r="AA57" s="131"/>
      <c r="AB57" s="131" t="str">
        <f t="shared" si="2"/>
        <v/>
      </c>
      <c r="AC57" s="131">
        <f t="shared" si="28"/>
        <v>6</v>
      </c>
      <c r="AD57" s="143" t="str">
        <f t="shared" si="29"/>
        <v>A</v>
      </c>
      <c r="AE57" s="145">
        <f t="shared" si="30"/>
        <v>376.8</v>
      </c>
      <c r="AF57" s="12" t="b">
        <f t="shared" si="1"/>
        <v>0</v>
      </c>
    </row>
    <row r="58" spans="1:32">
      <c r="A58" s="131" t="s">
        <v>343</v>
      </c>
      <c r="B58" s="131">
        <v>618.29999999999995</v>
      </c>
      <c r="C58" s="131">
        <v>0</v>
      </c>
      <c r="D58" s="131">
        <v>72.099999999999994</v>
      </c>
      <c r="E58" s="131"/>
      <c r="F58" s="131">
        <v>0</v>
      </c>
      <c r="G58" s="131"/>
      <c r="H58" s="131">
        <v>202</v>
      </c>
      <c r="I58" s="131"/>
      <c r="J58" s="131">
        <v>42</v>
      </c>
      <c r="K58" s="131"/>
      <c r="L58" s="131">
        <v>0</v>
      </c>
      <c r="M58" s="131" t="s">
        <v>1</v>
      </c>
      <c r="N58" s="131"/>
      <c r="O58" s="131">
        <v>180</v>
      </c>
      <c r="P58" s="131">
        <v>24</v>
      </c>
      <c r="Q58" s="131">
        <v>45</v>
      </c>
      <c r="R58" s="131">
        <v>249</v>
      </c>
      <c r="S58" s="131"/>
      <c r="T58" s="131">
        <v>0</v>
      </c>
      <c r="U58" s="131">
        <v>0</v>
      </c>
      <c r="V58" s="131">
        <v>0</v>
      </c>
      <c r="W58" s="131">
        <v>0</v>
      </c>
      <c r="X58" s="131">
        <v>0</v>
      </c>
      <c r="Y58" s="132">
        <v>41660</v>
      </c>
      <c r="Z58" s="131"/>
      <c r="AA58" s="131"/>
      <c r="AB58" s="131" t="str">
        <f t="shared" si="2"/>
        <v/>
      </c>
      <c r="AC58" s="131">
        <f t="shared" si="28"/>
        <v>6</v>
      </c>
      <c r="AD58" s="143" t="str">
        <f t="shared" si="29"/>
        <v>A</v>
      </c>
      <c r="AE58" s="145">
        <f t="shared" si="30"/>
        <v>618.29999999999995</v>
      </c>
      <c r="AF58" s="12" t="b">
        <f t="shared" si="1"/>
        <v>0</v>
      </c>
    </row>
    <row r="59" spans="1:32">
      <c r="A59" s="131" t="s">
        <v>408</v>
      </c>
      <c r="B59" s="131">
        <v>98.9</v>
      </c>
      <c r="C59" s="131">
        <v>0</v>
      </c>
      <c r="D59" s="131">
        <v>0</v>
      </c>
      <c r="E59" s="131"/>
      <c r="F59" s="131">
        <v>0</v>
      </c>
      <c r="G59" s="131"/>
      <c r="H59" s="131">
        <v>26</v>
      </c>
      <c r="I59" s="131"/>
      <c r="J59" s="131">
        <v>8</v>
      </c>
      <c r="K59" s="131"/>
      <c r="L59" s="131">
        <v>0</v>
      </c>
      <c r="M59" s="131" t="s">
        <v>1</v>
      </c>
      <c r="N59" s="131"/>
      <c r="O59" s="131">
        <v>27</v>
      </c>
      <c r="P59" s="131">
        <v>0</v>
      </c>
      <c r="Q59" s="131">
        <v>34</v>
      </c>
      <c r="R59" s="131">
        <v>61</v>
      </c>
      <c r="S59" s="131"/>
      <c r="T59" s="131">
        <v>0</v>
      </c>
      <c r="U59" s="131">
        <v>0</v>
      </c>
      <c r="V59" s="131">
        <v>0</v>
      </c>
      <c r="W59" s="131">
        <v>0</v>
      </c>
      <c r="X59" s="131">
        <v>0</v>
      </c>
      <c r="Y59" s="132">
        <v>41660</v>
      </c>
      <c r="Z59" s="131"/>
      <c r="AA59" s="131"/>
      <c r="AB59" s="131" t="str">
        <f t="shared" si="2"/>
        <v/>
      </c>
      <c r="AC59" s="131">
        <f t="shared" si="28"/>
        <v>6</v>
      </c>
      <c r="AD59" s="143" t="str">
        <f t="shared" si="29"/>
        <v>A</v>
      </c>
      <c r="AE59" s="145">
        <f t="shared" si="30"/>
        <v>98.9</v>
      </c>
      <c r="AF59" s="12" t="b">
        <f t="shared" si="1"/>
        <v>0</v>
      </c>
    </row>
    <row r="60" spans="1:32">
      <c r="A60" s="131" t="s">
        <v>410</v>
      </c>
      <c r="B60" s="131">
        <v>187.4</v>
      </c>
      <c r="C60" s="131">
        <v>2</v>
      </c>
      <c r="D60" s="131">
        <v>11.9</v>
      </c>
      <c r="E60" s="131"/>
      <c r="F60" s="131">
        <v>62.4</v>
      </c>
      <c r="G60" s="131"/>
      <c r="H60" s="131">
        <v>92</v>
      </c>
      <c r="I60" s="131"/>
      <c r="J60" s="131">
        <v>12</v>
      </c>
      <c r="K60" s="131"/>
      <c r="L60" s="131">
        <v>0</v>
      </c>
      <c r="M60" s="131" t="s">
        <v>1</v>
      </c>
      <c r="N60" s="131"/>
      <c r="O60" s="131">
        <v>74.5</v>
      </c>
      <c r="P60" s="131">
        <v>0</v>
      </c>
      <c r="Q60" s="131">
        <v>51.5</v>
      </c>
      <c r="R60" s="131">
        <v>126</v>
      </c>
      <c r="S60" s="131"/>
      <c r="T60" s="131">
        <v>0</v>
      </c>
      <c r="U60" s="131">
        <v>0</v>
      </c>
      <c r="V60" s="131">
        <v>0</v>
      </c>
      <c r="W60" s="131">
        <v>0</v>
      </c>
      <c r="X60" s="131">
        <v>0</v>
      </c>
      <c r="Y60" s="132">
        <v>41660</v>
      </c>
      <c r="Z60" s="131"/>
      <c r="AA60" s="131"/>
      <c r="AB60" s="131" t="str">
        <f t="shared" si="2"/>
        <v/>
      </c>
      <c r="AC60" s="131">
        <f t="shared" si="28"/>
        <v>6</v>
      </c>
      <c r="AD60" s="143" t="str">
        <f t="shared" si="29"/>
        <v>A</v>
      </c>
      <c r="AE60" s="145">
        <f t="shared" si="30"/>
        <v>187.4</v>
      </c>
      <c r="AF60" s="12" t="b">
        <f t="shared" si="1"/>
        <v>0</v>
      </c>
    </row>
    <row r="61" spans="1:32">
      <c r="A61" s="131" t="s">
        <v>427</v>
      </c>
      <c r="B61" s="131">
        <v>388.5</v>
      </c>
      <c r="C61" s="131">
        <v>5.5</v>
      </c>
      <c r="D61" s="131">
        <v>109.4</v>
      </c>
      <c r="E61" s="131"/>
      <c r="F61" s="131">
        <v>0</v>
      </c>
      <c r="G61" s="131"/>
      <c r="H61" s="131">
        <v>150</v>
      </c>
      <c r="I61" s="131"/>
      <c r="J61" s="131">
        <v>8</v>
      </c>
      <c r="K61" s="131"/>
      <c r="L61" s="131">
        <v>0</v>
      </c>
      <c r="M61" s="131" t="s">
        <v>1</v>
      </c>
      <c r="N61" s="131"/>
      <c r="O61" s="131">
        <v>138</v>
      </c>
      <c r="P61" s="131">
        <v>43</v>
      </c>
      <c r="Q61" s="131">
        <v>21</v>
      </c>
      <c r="R61" s="131">
        <v>202</v>
      </c>
      <c r="S61" s="131"/>
      <c r="T61" s="131">
        <v>0</v>
      </c>
      <c r="U61" s="131">
        <v>0</v>
      </c>
      <c r="V61" s="131">
        <v>0</v>
      </c>
      <c r="W61" s="131">
        <v>0</v>
      </c>
      <c r="X61" s="131">
        <v>0</v>
      </c>
      <c r="Y61" s="132">
        <v>41660</v>
      </c>
      <c r="Z61" s="131"/>
      <c r="AA61" s="131"/>
      <c r="AB61" s="131" t="str">
        <f t="shared" ref="AB61:AB124" si="31">IF(AA61&gt;0,C61+AA61, "")</f>
        <v/>
      </c>
      <c r="AC61" s="131">
        <f t="shared" si="28"/>
        <v>6</v>
      </c>
      <c r="AD61" s="143" t="str">
        <f t="shared" si="29"/>
        <v>A</v>
      </c>
      <c r="AE61" s="145">
        <f t="shared" si="30"/>
        <v>388.5</v>
      </c>
      <c r="AF61" s="12" t="b">
        <f t="shared" si="1"/>
        <v>0</v>
      </c>
    </row>
    <row r="62" spans="1:32">
      <c r="A62" s="131" t="s">
        <v>437</v>
      </c>
      <c r="B62" s="131">
        <v>1327</v>
      </c>
      <c r="C62" s="131">
        <v>15.5</v>
      </c>
      <c r="D62" s="131">
        <v>269.39999999999998</v>
      </c>
      <c r="E62" s="131"/>
      <c r="F62" s="131">
        <v>4.4000000000000004</v>
      </c>
      <c r="G62" s="131"/>
      <c r="H62" s="131">
        <v>377</v>
      </c>
      <c r="I62" s="131"/>
      <c r="J62" s="131">
        <v>116</v>
      </c>
      <c r="K62" s="131"/>
      <c r="L62" s="131">
        <v>0</v>
      </c>
      <c r="M62" s="131" t="s">
        <v>1</v>
      </c>
      <c r="N62" s="131"/>
      <c r="O62" s="131">
        <v>466.5</v>
      </c>
      <c r="P62" s="131">
        <v>854</v>
      </c>
      <c r="Q62" s="131">
        <v>87</v>
      </c>
      <c r="R62" s="131">
        <v>1407.5</v>
      </c>
      <c r="S62" s="131"/>
      <c r="T62" s="131">
        <v>1</v>
      </c>
      <c r="U62" s="131">
        <v>0</v>
      </c>
      <c r="V62" s="131">
        <v>0</v>
      </c>
      <c r="W62" s="131">
        <v>0</v>
      </c>
      <c r="X62" s="131">
        <v>1</v>
      </c>
      <c r="Y62" s="132">
        <v>41660</v>
      </c>
      <c r="Z62" s="131"/>
      <c r="AA62" s="131"/>
      <c r="AB62" s="131" t="str">
        <f t="shared" si="31"/>
        <v/>
      </c>
      <c r="AC62" s="131">
        <f t="shared" si="28"/>
        <v>6</v>
      </c>
      <c r="AD62" s="143" t="str">
        <f t="shared" si="29"/>
        <v>A</v>
      </c>
      <c r="AE62" s="145">
        <f t="shared" si="30"/>
        <v>1326</v>
      </c>
      <c r="AF62" s="12" t="b">
        <f t="shared" si="1"/>
        <v>0</v>
      </c>
    </row>
    <row r="63" spans="1:32">
      <c r="A63" s="131" t="s">
        <v>442</v>
      </c>
      <c r="B63" s="131">
        <v>1515.5</v>
      </c>
      <c r="C63" s="131">
        <v>6</v>
      </c>
      <c r="D63" s="131">
        <v>401.7</v>
      </c>
      <c r="E63" s="131"/>
      <c r="F63" s="131">
        <v>3.5</v>
      </c>
      <c r="G63" s="131"/>
      <c r="H63" s="131">
        <v>730</v>
      </c>
      <c r="I63" s="131"/>
      <c r="J63" s="131">
        <v>109</v>
      </c>
      <c r="K63" s="131"/>
      <c r="L63" s="131">
        <v>0</v>
      </c>
      <c r="M63" s="131" t="s">
        <v>1</v>
      </c>
      <c r="N63" s="131"/>
      <c r="O63" s="131">
        <v>166</v>
      </c>
      <c r="P63" s="131">
        <v>17</v>
      </c>
      <c r="Q63" s="131">
        <v>20</v>
      </c>
      <c r="R63" s="131">
        <v>203</v>
      </c>
      <c r="S63" s="131"/>
      <c r="T63" s="131">
        <v>0</v>
      </c>
      <c r="U63" s="131">
        <v>0</v>
      </c>
      <c r="V63" s="131">
        <v>0</v>
      </c>
      <c r="W63" s="131">
        <v>0</v>
      </c>
      <c r="X63" s="131">
        <v>0</v>
      </c>
      <c r="Y63" s="132">
        <v>41660</v>
      </c>
      <c r="Z63" s="131"/>
      <c r="AA63" s="131"/>
      <c r="AB63" s="131" t="str">
        <f t="shared" si="31"/>
        <v/>
      </c>
      <c r="AC63" s="131">
        <f t="shared" si="28"/>
        <v>6</v>
      </c>
      <c r="AD63" s="143" t="str">
        <f t="shared" si="29"/>
        <v>A</v>
      </c>
      <c r="AE63" s="145">
        <f t="shared" si="30"/>
        <v>1515.5</v>
      </c>
      <c r="AF63" s="12" t="b">
        <f t="shared" si="1"/>
        <v>0</v>
      </c>
    </row>
    <row r="64" spans="1:32">
      <c r="A64" s="131" t="s">
        <v>469</v>
      </c>
      <c r="B64" s="131">
        <v>1163.2</v>
      </c>
      <c r="C64" s="131">
        <v>10</v>
      </c>
      <c r="D64" s="131">
        <v>122.4</v>
      </c>
      <c r="E64" s="131"/>
      <c r="F64" s="131">
        <v>249</v>
      </c>
      <c r="G64" s="131"/>
      <c r="H64" s="131">
        <v>439</v>
      </c>
      <c r="I64" s="131"/>
      <c r="J64" s="131">
        <v>95</v>
      </c>
      <c r="K64" s="131"/>
      <c r="L64" s="131">
        <v>0</v>
      </c>
      <c r="M64" s="131" t="s">
        <v>1</v>
      </c>
      <c r="N64" s="131"/>
      <c r="O64" s="131">
        <v>136</v>
      </c>
      <c r="P64" s="131">
        <v>396</v>
      </c>
      <c r="Q64" s="131">
        <v>15</v>
      </c>
      <c r="R64" s="131">
        <v>547</v>
      </c>
      <c r="S64" s="131"/>
      <c r="T64" s="131">
        <v>0</v>
      </c>
      <c r="U64" s="131">
        <v>0</v>
      </c>
      <c r="V64" s="131">
        <v>0</v>
      </c>
      <c r="W64" s="131">
        <v>0</v>
      </c>
      <c r="X64" s="131">
        <v>0</v>
      </c>
      <c r="Y64" s="132">
        <v>41660</v>
      </c>
      <c r="Z64" s="131"/>
      <c r="AA64" s="131"/>
      <c r="AB64" s="131" t="str">
        <f t="shared" si="31"/>
        <v/>
      </c>
      <c r="AC64" s="131">
        <f t="shared" si="28"/>
        <v>6</v>
      </c>
      <c r="AD64" s="143" t="str">
        <f t="shared" si="29"/>
        <v>A</v>
      </c>
      <c r="AE64" s="145">
        <f t="shared" si="30"/>
        <v>1163.2</v>
      </c>
      <c r="AF64" s="12" t="b">
        <f t="shared" si="1"/>
        <v>0</v>
      </c>
    </row>
    <row r="65" spans="1:32">
      <c r="A65" s="131" t="s">
        <v>483</v>
      </c>
      <c r="B65" s="131">
        <v>391.1</v>
      </c>
      <c r="C65" s="131">
        <v>0</v>
      </c>
      <c r="D65" s="131">
        <v>108.6</v>
      </c>
      <c r="E65" s="131"/>
      <c r="F65" s="131">
        <v>0</v>
      </c>
      <c r="G65" s="131"/>
      <c r="H65" s="131">
        <v>72</v>
      </c>
      <c r="I65" s="131"/>
      <c r="J65" s="131">
        <v>27</v>
      </c>
      <c r="K65" s="131"/>
      <c r="L65" s="131">
        <v>0</v>
      </c>
      <c r="M65" s="131" t="s">
        <v>1</v>
      </c>
      <c r="N65" s="131"/>
      <c r="O65" s="131">
        <v>184.5</v>
      </c>
      <c r="P65" s="131">
        <v>30</v>
      </c>
      <c r="Q65" s="131">
        <v>7</v>
      </c>
      <c r="R65" s="131">
        <v>221.5</v>
      </c>
      <c r="S65" s="131"/>
      <c r="T65" s="131">
        <v>164.8</v>
      </c>
      <c r="U65" s="131">
        <v>0</v>
      </c>
      <c r="V65" s="131">
        <v>0</v>
      </c>
      <c r="W65" s="131">
        <v>0</v>
      </c>
      <c r="X65" s="131">
        <v>0</v>
      </c>
      <c r="Y65" s="132">
        <v>41660</v>
      </c>
      <c r="Z65" s="131"/>
      <c r="AA65" s="131"/>
      <c r="AB65" s="131" t="str">
        <f t="shared" si="31"/>
        <v/>
      </c>
      <c r="AC65" s="131">
        <f t="shared" si="28"/>
        <v>6</v>
      </c>
      <c r="AD65" s="143" t="str">
        <f t="shared" si="29"/>
        <v>A</v>
      </c>
      <c r="AE65" s="145">
        <f t="shared" si="30"/>
        <v>226.3</v>
      </c>
      <c r="AF65" s="12" t="b">
        <f t="shared" si="1"/>
        <v>0</v>
      </c>
    </row>
    <row r="66" spans="1:32">
      <c r="A66" s="131" t="s">
        <v>484</v>
      </c>
      <c r="B66" s="131">
        <v>255.5</v>
      </c>
      <c r="C66" s="131">
        <v>4</v>
      </c>
      <c r="D66" s="131">
        <v>122.8</v>
      </c>
      <c r="E66" s="131"/>
      <c r="F66" s="131">
        <v>0</v>
      </c>
      <c r="G66" s="131"/>
      <c r="H66" s="131">
        <v>123</v>
      </c>
      <c r="I66" s="131"/>
      <c r="J66" s="131">
        <v>18</v>
      </c>
      <c r="K66" s="131"/>
      <c r="L66" s="131">
        <v>0</v>
      </c>
      <c r="M66" s="131" t="s">
        <v>1</v>
      </c>
      <c r="N66" s="131"/>
      <c r="O66" s="131">
        <v>83</v>
      </c>
      <c r="P66" s="131">
        <v>11</v>
      </c>
      <c r="Q66" s="131">
        <v>0</v>
      </c>
      <c r="R66" s="131">
        <v>94</v>
      </c>
      <c r="S66" s="131"/>
      <c r="T66" s="131">
        <v>0</v>
      </c>
      <c r="U66" s="131">
        <v>0</v>
      </c>
      <c r="V66" s="131">
        <v>0</v>
      </c>
      <c r="W66" s="131">
        <v>0</v>
      </c>
      <c r="X66" s="131">
        <v>0</v>
      </c>
      <c r="Y66" s="132">
        <v>41660</v>
      </c>
      <c r="Z66" s="131"/>
      <c r="AA66" s="131"/>
      <c r="AB66" s="131" t="str">
        <f t="shared" si="31"/>
        <v/>
      </c>
      <c r="AC66" s="131">
        <f t="shared" si="28"/>
        <v>6</v>
      </c>
      <c r="AD66" s="143" t="str">
        <f t="shared" si="29"/>
        <v>A</v>
      </c>
      <c r="AE66" s="145">
        <f t="shared" si="30"/>
        <v>255.5</v>
      </c>
      <c r="AF66" s="12" t="b">
        <f t="shared" ref="AF66:AF129" si="32">COUNTIF(A:A,A66)&gt;1</f>
        <v>0</v>
      </c>
    </row>
    <row r="67" spans="1:32">
      <c r="A67" s="131" t="s">
        <v>313</v>
      </c>
      <c r="B67" s="131">
        <v>1799.6</v>
      </c>
      <c r="C67" s="131">
        <v>4</v>
      </c>
      <c r="D67" s="131">
        <v>315.7</v>
      </c>
      <c r="E67" s="131"/>
      <c r="F67" s="131">
        <v>52.6</v>
      </c>
      <c r="G67" s="131"/>
      <c r="H67" s="131">
        <v>255</v>
      </c>
      <c r="I67" s="131"/>
      <c r="J67" s="131">
        <v>96</v>
      </c>
      <c r="K67" s="131"/>
      <c r="L67" s="131">
        <v>120.4</v>
      </c>
      <c r="M67" s="131" t="s">
        <v>1</v>
      </c>
      <c r="N67" s="131"/>
      <c r="O67" s="131">
        <v>1002</v>
      </c>
      <c r="P67" s="131">
        <v>817</v>
      </c>
      <c r="Q67" s="131">
        <v>0</v>
      </c>
      <c r="R67" s="131">
        <v>1819</v>
      </c>
      <c r="S67" s="131"/>
      <c r="T67" s="131">
        <v>0</v>
      </c>
      <c r="U67" s="131">
        <v>0</v>
      </c>
      <c r="V67" s="131">
        <v>0</v>
      </c>
      <c r="W67" s="131">
        <v>0</v>
      </c>
      <c r="X67" s="131">
        <v>0</v>
      </c>
      <c r="Y67" s="132">
        <v>41661</v>
      </c>
      <c r="Z67" s="131"/>
      <c r="AA67" s="131"/>
      <c r="AB67" s="131" t="str">
        <f t="shared" si="31"/>
        <v/>
      </c>
      <c r="AC67" s="131">
        <f t="shared" si="10"/>
        <v>7</v>
      </c>
      <c r="AD67" s="143" t="str">
        <f t="shared" ref="AD67" si="33">IF(Z67="", "A", "AM")</f>
        <v>A</v>
      </c>
      <c r="AE67" s="145">
        <f t="shared" ref="AE67" si="34">B67-T67</f>
        <v>1799.6</v>
      </c>
      <c r="AF67" s="12" t="b">
        <f t="shared" si="32"/>
        <v>0</v>
      </c>
    </row>
    <row r="68" spans="1:32">
      <c r="A68" s="131" t="s">
        <v>301</v>
      </c>
      <c r="B68" s="131">
        <v>129</v>
      </c>
      <c r="C68" s="131">
        <v>0</v>
      </c>
      <c r="D68" s="131">
        <v>9</v>
      </c>
      <c r="E68" s="131"/>
      <c r="F68" s="131">
        <v>57</v>
      </c>
      <c r="G68" s="131"/>
      <c r="H68" s="131">
        <v>71</v>
      </c>
      <c r="I68" s="131"/>
      <c r="J68" s="131">
        <v>14</v>
      </c>
      <c r="K68" s="131"/>
      <c r="L68" s="131">
        <v>0</v>
      </c>
      <c r="M68" s="131" t="s">
        <v>1</v>
      </c>
      <c r="N68" s="131"/>
      <c r="O68" s="131">
        <v>59</v>
      </c>
      <c r="P68" s="131">
        <v>3</v>
      </c>
      <c r="Q68" s="131">
        <v>12</v>
      </c>
      <c r="R68" s="131">
        <v>74</v>
      </c>
      <c r="S68" s="131"/>
      <c r="T68" s="131">
        <v>0</v>
      </c>
      <c r="U68" s="131">
        <v>0</v>
      </c>
      <c r="V68" s="131">
        <v>0</v>
      </c>
      <c r="W68" s="131">
        <v>0</v>
      </c>
      <c r="X68" s="131">
        <v>0</v>
      </c>
      <c r="Y68" s="132">
        <v>41667</v>
      </c>
      <c r="Z68" s="131"/>
      <c r="AA68" s="131"/>
      <c r="AB68" s="131" t="str">
        <f t="shared" si="31"/>
        <v/>
      </c>
      <c r="AC68" s="131">
        <f t="shared" si="10"/>
        <v>8</v>
      </c>
      <c r="AD68" s="143" t="str">
        <f t="shared" ref="AD68:AD82" si="35">IF(Z68="", "A", "AM")</f>
        <v>A</v>
      </c>
      <c r="AE68" s="145">
        <f t="shared" ref="AE68:AE82" si="36">B68-T68</f>
        <v>129</v>
      </c>
      <c r="AF68" s="12" t="b">
        <f t="shared" si="32"/>
        <v>0</v>
      </c>
    </row>
    <row r="69" spans="1:32">
      <c r="A69" s="131" t="s">
        <v>312</v>
      </c>
      <c r="B69" s="131">
        <v>3854</v>
      </c>
      <c r="C69" s="131">
        <v>76.5</v>
      </c>
      <c r="D69" s="131">
        <v>879.4</v>
      </c>
      <c r="E69" s="131"/>
      <c r="F69" s="131">
        <v>1812.9</v>
      </c>
      <c r="G69" s="131"/>
      <c r="H69" s="131">
        <v>2691</v>
      </c>
      <c r="I69" s="131"/>
      <c r="J69" s="131">
        <v>301</v>
      </c>
      <c r="K69" s="131"/>
      <c r="L69" s="131">
        <v>0</v>
      </c>
      <c r="M69" s="131" t="s">
        <v>1</v>
      </c>
      <c r="N69" s="131"/>
      <c r="O69" s="131">
        <v>1148</v>
      </c>
      <c r="P69" s="131">
        <v>2655</v>
      </c>
      <c r="Q69" s="131">
        <v>24.5</v>
      </c>
      <c r="R69" s="131">
        <v>3827.5</v>
      </c>
      <c r="S69" s="131"/>
      <c r="T69" s="131">
        <v>0</v>
      </c>
      <c r="U69" s="131">
        <v>0</v>
      </c>
      <c r="V69" s="131">
        <v>0</v>
      </c>
      <c r="W69" s="131">
        <v>0</v>
      </c>
      <c r="X69" s="131">
        <v>0</v>
      </c>
      <c r="Y69" s="132">
        <v>41667</v>
      </c>
      <c r="Z69" s="131"/>
      <c r="AA69" s="131"/>
      <c r="AB69" s="131" t="str">
        <f t="shared" si="31"/>
        <v/>
      </c>
      <c r="AC69" s="131">
        <f t="shared" si="10"/>
        <v>8</v>
      </c>
      <c r="AD69" s="143" t="str">
        <f t="shared" si="35"/>
        <v>A</v>
      </c>
      <c r="AE69" s="145">
        <f t="shared" si="36"/>
        <v>3854</v>
      </c>
      <c r="AF69" s="12" t="b">
        <f t="shared" si="32"/>
        <v>0</v>
      </c>
    </row>
    <row r="70" spans="1:32">
      <c r="A70" s="131" t="s">
        <v>321</v>
      </c>
      <c r="B70" s="131">
        <v>695</v>
      </c>
      <c r="C70" s="131">
        <v>0</v>
      </c>
      <c r="D70" s="131">
        <v>175.3</v>
      </c>
      <c r="E70" s="131"/>
      <c r="F70" s="131">
        <v>0.5</v>
      </c>
      <c r="G70" s="131"/>
      <c r="H70" s="131">
        <v>236</v>
      </c>
      <c r="I70" s="131"/>
      <c r="J70" s="131">
        <v>47</v>
      </c>
      <c r="K70" s="131"/>
      <c r="L70" s="131">
        <v>0</v>
      </c>
      <c r="M70" s="131" t="s">
        <v>1</v>
      </c>
      <c r="N70" s="131"/>
      <c r="O70" s="131">
        <v>142.5</v>
      </c>
      <c r="P70" s="131">
        <v>45</v>
      </c>
      <c r="Q70" s="131">
        <v>29</v>
      </c>
      <c r="R70" s="131">
        <v>216.5</v>
      </c>
      <c r="S70" s="131"/>
      <c r="T70" s="131">
        <v>0</v>
      </c>
      <c r="U70" s="131">
        <v>0</v>
      </c>
      <c r="V70" s="131">
        <v>0</v>
      </c>
      <c r="W70" s="131">
        <v>0</v>
      </c>
      <c r="X70" s="131">
        <v>0</v>
      </c>
      <c r="Y70" s="132">
        <v>41667</v>
      </c>
      <c r="Z70" s="131"/>
      <c r="AA70" s="131"/>
      <c r="AB70" s="131" t="str">
        <f t="shared" si="31"/>
        <v/>
      </c>
      <c r="AC70" s="131">
        <f t="shared" ref="AC70:AC84" si="37">IF(Y70=Y69,AC69,AC69+1)</f>
        <v>8</v>
      </c>
      <c r="AD70" s="143" t="str">
        <f t="shared" si="35"/>
        <v>A</v>
      </c>
      <c r="AE70" s="145">
        <f t="shared" si="36"/>
        <v>695</v>
      </c>
      <c r="AF70" s="12" t="b">
        <f t="shared" si="32"/>
        <v>0</v>
      </c>
    </row>
    <row r="71" spans="1:32">
      <c r="A71" s="131" t="s">
        <v>373</v>
      </c>
      <c r="B71" s="131">
        <v>124.5</v>
      </c>
      <c r="C71" s="131">
        <v>2.5</v>
      </c>
      <c r="D71" s="131">
        <v>36.6</v>
      </c>
      <c r="E71" s="131"/>
      <c r="F71" s="131">
        <v>0</v>
      </c>
      <c r="G71" s="131"/>
      <c r="H71" s="131">
        <v>55</v>
      </c>
      <c r="I71" s="131"/>
      <c r="J71" s="131">
        <v>12</v>
      </c>
      <c r="K71" s="131"/>
      <c r="L71" s="131">
        <v>0</v>
      </c>
      <c r="M71" s="131" t="s">
        <v>1</v>
      </c>
      <c r="N71" s="131"/>
      <c r="O71" s="131">
        <v>71</v>
      </c>
      <c r="P71" s="131">
        <v>3</v>
      </c>
      <c r="Q71" s="131">
        <v>10</v>
      </c>
      <c r="R71" s="131">
        <v>84</v>
      </c>
      <c r="S71" s="131"/>
      <c r="T71" s="131">
        <v>0</v>
      </c>
      <c r="U71" s="131">
        <v>0</v>
      </c>
      <c r="V71" s="131">
        <v>0</v>
      </c>
      <c r="W71" s="131">
        <v>0</v>
      </c>
      <c r="X71" s="131">
        <v>0</v>
      </c>
      <c r="Y71" s="132">
        <v>41667</v>
      </c>
      <c r="Z71" s="131"/>
      <c r="AA71" s="131"/>
      <c r="AB71" s="131" t="str">
        <f t="shared" si="31"/>
        <v/>
      </c>
      <c r="AC71" s="131">
        <f t="shared" si="37"/>
        <v>8</v>
      </c>
      <c r="AD71" s="143" t="str">
        <f t="shared" si="35"/>
        <v>A</v>
      </c>
      <c r="AE71" s="145">
        <f t="shared" si="36"/>
        <v>124.5</v>
      </c>
      <c r="AF71" s="12" t="b">
        <f t="shared" si="32"/>
        <v>0</v>
      </c>
    </row>
    <row r="72" spans="1:32">
      <c r="A72" s="131" t="s">
        <v>375</v>
      </c>
      <c r="B72" s="131">
        <v>290.10000000000002</v>
      </c>
      <c r="C72" s="131">
        <v>3</v>
      </c>
      <c r="D72" s="131">
        <v>79.3</v>
      </c>
      <c r="E72" s="131"/>
      <c r="F72" s="131">
        <v>0</v>
      </c>
      <c r="G72" s="131"/>
      <c r="H72" s="131">
        <v>125</v>
      </c>
      <c r="I72" s="131"/>
      <c r="J72" s="131">
        <v>26</v>
      </c>
      <c r="K72" s="131"/>
      <c r="L72" s="131">
        <v>0</v>
      </c>
      <c r="M72" s="131" t="s">
        <v>1</v>
      </c>
      <c r="N72" s="131"/>
      <c r="O72" s="131">
        <v>60</v>
      </c>
      <c r="P72" s="131">
        <v>16</v>
      </c>
      <c r="Q72" s="131">
        <v>9</v>
      </c>
      <c r="R72" s="131">
        <v>85</v>
      </c>
      <c r="S72" s="131"/>
      <c r="T72" s="131">
        <v>0</v>
      </c>
      <c r="U72" s="131">
        <v>0</v>
      </c>
      <c r="V72" s="131">
        <v>0</v>
      </c>
      <c r="W72" s="131">
        <v>0</v>
      </c>
      <c r="X72" s="131">
        <v>0</v>
      </c>
      <c r="Y72" s="132">
        <v>41667</v>
      </c>
      <c r="Z72" s="131"/>
      <c r="AA72" s="131"/>
      <c r="AB72" s="131" t="str">
        <f t="shared" si="31"/>
        <v/>
      </c>
      <c r="AC72" s="131">
        <f t="shared" si="37"/>
        <v>8</v>
      </c>
      <c r="AD72" s="143" t="str">
        <f t="shared" si="35"/>
        <v>A</v>
      </c>
      <c r="AE72" s="145">
        <f t="shared" si="36"/>
        <v>290.10000000000002</v>
      </c>
      <c r="AF72" s="12" t="b">
        <f t="shared" si="32"/>
        <v>0</v>
      </c>
    </row>
    <row r="73" spans="1:32">
      <c r="A73" s="131" t="s">
        <v>393</v>
      </c>
      <c r="B73" s="131">
        <v>344.5</v>
      </c>
      <c r="C73" s="131">
        <v>0</v>
      </c>
      <c r="D73" s="131">
        <v>97.5</v>
      </c>
      <c r="E73" s="131"/>
      <c r="F73" s="131">
        <v>0</v>
      </c>
      <c r="G73" s="131"/>
      <c r="H73" s="131">
        <v>114</v>
      </c>
      <c r="I73" s="131"/>
      <c r="J73" s="131">
        <v>42</v>
      </c>
      <c r="K73" s="131"/>
      <c r="L73" s="131">
        <v>0</v>
      </c>
      <c r="M73" s="131" t="s">
        <v>1</v>
      </c>
      <c r="N73" s="131"/>
      <c r="O73" s="131">
        <v>73.5</v>
      </c>
      <c r="P73" s="131">
        <v>5</v>
      </c>
      <c r="Q73" s="131">
        <v>12</v>
      </c>
      <c r="R73" s="131">
        <v>90.5</v>
      </c>
      <c r="S73" s="131"/>
      <c r="T73" s="131">
        <v>0</v>
      </c>
      <c r="U73" s="131">
        <v>0</v>
      </c>
      <c r="V73" s="131">
        <v>0</v>
      </c>
      <c r="W73" s="131">
        <v>0</v>
      </c>
      <c r="X73" s="131">
        <v>0</v>
      </c>
      <c r="Y73" s="132">
        <v>41667</v>
      </c>
      <c r="Z73" s="131"/>
      <c r="AA73" s="131"/>
      <c r="AB73" s="131" t="str">
        <f t="shared" si="31"/>
        <v/>
      </c>
      <c r="AC73" s="131">
        <f t="shared" si="37"/>
        <v>8</v>
      </c>
      <c r="AD73" s="143" t="str">
        <f t="shared" si="35"/>
        <v>A</v>
      </c>
      <c r="AE73" s="145">
        <f t="shared" si="36"/>
        <v>344.5</v>
      </c>
      <c r="AF73" s="12" t="b">
        <f t="shared" si="32"/>
        <v>0</v>
      </c>
    </row>
    <row r="74" spans="1:32">
      <c r="A74" s="131" t="s">
        <v>403</v>
      </c>
      <c r="B74" s="131">
        <v>1098.3</v>
      </c>
      <c r="C74" s="131">
        <v>8</v>
      </c>
      <c r="D74" s="131">
        <v>191.1</v>
      </c>
      <c r="E74" s="131"/>
      <c r="F74" s="131">
        <v>90.7</v>
      </c>
      <c r="G74" s="131"/>
      <c r="H74" s="131">
        <v>537</v>
      </c>
      <c r="I74" s="131"/>
      <c r="J74" s="131">
        <v>66</v>
      </c>
      <c r="K74" s="131"/>
      <c r="L74" s="131">
        <v>0</v>
      </c>
      <c r="M74" s="131" t="s">
        <v>1</v>
      </c>
      <c r="N74" s="131"/>
      <c r="O74" s="131">
        <v>476.5</v>
      </c>
      <c r="P74" s="131">
        <v>147</v>
      </c>
      <c r="Q74" s="131">
        <v>126</v>
      </c>
      <c r="R74" s="131">
        <v>749.5</v>
      </c>
      <c r="S74" s="131"/>
      <c r="T74" s="131">
        <v>0</v>
      </c>
      <c r="U74" s="131">
        <v>0</v>
      </c>
      <c r="V74" s="131">
        <v>0</v>
      </c>
      <c r="W74" s="131">
        <v>0</v>
      </c>
      <c r="X74" s="131">
        <v>1</v>
      </c>
      <c r="Y74" s="132">
        <v>41667</v>
      </c>
      <c r="Z74" s="131"/>
      <c r="AA74" s="131"/>
      <c r="AB74" s="131" t="str">
        <f t="shared" si="31"/>
        <v/>
      </c>
      <c r="AC74" s="131">
        <f t="shared" si="37"/>
        <v>8</v>
      </c>
      <c r="AD74" s="143" t="str">
        <f t="shared" si="35"/>
        <v>A</v>
      </c>
      <c r="AE74" s="145">
        <f t="shared" si="36"/>
        <v>1098.3</v>
      </c>
      <c r="AF74" s="12" t="b">
        <f t="shared" si="32"/>
        <v>0</v>
      </c>
    </row>
    <row r="75" spans="1:32">
      <c r="A75" s="131" t="s">
        <v>407</v>
      </c>
      <c r="B75" s="131">
        <v>2091.6999999999998</v>
      </c>
      <c r="C75" s="131">
        <v>19.5</v>
      </c>
      <c r="D75" s="131">
        <v>446.1</v>
      </c>
      <c r="E75" s="131"/>
      <c r="F75" s="131">
        <v>66.5</v>
      </c>
      <c r="G75" s="131"/>
      <c r="H75" s="131">
        <v>641</v>
      </c>
      <c r="I75" s="131"/>
      <c r="J75" s="131">
        <v>133</v>
      </c>
      <c r="K75" s="131"/>
      <c r="L75" s="131">
        <v>0</v>
      </c>
      <c r="M75" s="131" t="s">
        <v>1</v>
      </c>
      <c r="N75" s="131"/>
      <c r="O75" s="131">
        <v>1073</v>
      </c>
      <c r="P75" s="131">
        <v>744</v>
      </c>
      <c r="Q75" s="131">
        <v>21</v>
      </c>
      <c r="R75" s="131">
        <v>1838</v>
      </c>
      <c r="S75" s="131"/>
      <c r="T75" s="131">
        <v>0</v>
      </c>
      <c r="U75" s="131">
        <v>0</v>
      </c>
      <c r="V75" s="131">
        <v>0</v>
      </c>
      <c r="W75" s="131">
        <v>0</v>
      </c>
      <c r="X75" s="131">
        <v>0</v>
      </c>
      <c r="Y75" s="132">
        <v>41667</v>
      </c>
      <c r="Z75" s="131"/>
      <c r="AA75" s="131"/>
      <c r="AB75" s="131" t="str">
        <f t="shared" si="31"/>
        <v/>
      </c>
      <c r="AC75" s="131">
        <f t="shared" si="37"/>
        <v>8</v>
      </c>
      <c r="AD75" s="143" t="str">
        <f t="shared" si="35"/>
        <v>A</v>
      </c>
      <c r="AE75" s="145">
        <f t="shared" si="36"/>
        <v>2091.6999999999998</v>
      </c>
      <c r="AF75" s="12" t="b">
        <f t="shared" si="32"/>
        <v>0</v>
      </c>
    </row>
    <row r="76" spans="1:32">
      <c r="A76" s="131" t="s">
        <v>412</v>
      </c>
      <c r="B76" s="131">
        <v>1118.5</v>
      </c>
      <c r="C76" s="131">
        <v>9</v>
      </c>
      <c r="D76" s="131">
        <v>255.9</v>
      </c>
      <c r="E76" s="131"/>
      <c r="F76" s="131">
        <v>0</v>
      </c>
      <c r="G76" s="131"/>
      <c r="H76" s="131">
        <v>376</v>
      </c>
      <c r="I76" s="131"/>
      <c r="J76" s="131">
        <v>58</v>
      </c>
      <c r="K76" s="131"/>
      <c r="L76" s="131">
        <v>0</v>
      </c>
      <c r="M76" s="131" t="s">
        <v>1</v>
      </c>
      <c r="N76" s="131"/>
      <c r="O76" s="131">
        <v>409</v>
      </c>
      <c r="P76" s="131">
        <v>110</v>
      </c>
      <c r="Q76" s="131">
        <v>24</v>
      </c>
      <c r="R76" s="131">
        <v>543</v>
      </c>
      <c r="S76" s="131"/>
      <c r="T76" s="131">
        <v>0</v>
      </c>
      <c r="U76" s="131">
        <v>0</v>
      </c>
      <c r="V76" s="131">
        <v>0</v>
      </c>
      <c r="W76" s="131">
        <v>0</v>
      </c>
      <c r="X76" s="131">
        <v>0</v>
      </c>
      <c r="Y76" s="132">
        <v>41667</v>
      </c>
      <c r="Z76" s="131"/>
      <c r="AA76" s="131"/>
      <c r="AB76" s="131" t="str">
        <f t="shared" si="31"/>
        <v/>
      </c>
      <c r="AC76" s="131">
        <f t="shared" si="37"/>
        <v>8</v>
      </c>
      <c r="AD76" s="143" t="str">
        <f t="shared" si="35"/>
        <v>A</v>
      </c>
      <c r="AE76" s="145">
        <f t="shared" si="36"/>
        <v>1118.5</v>
      </c>
      <c r="AF76" s="12" t="b">
        <f t="shared" si="32"/>
        <v>0</v>
      </c>
    </row>
    <row r="77" spans="1:32">
      <c r="A77" s="131" t="s">
        <v>420</v>
      </c>
      <c r="B77" s="131">
        <v>926.1</v>
      </c>
      <c r="C77" s="131">
        <v>0</v>
      </c>
      <c r="D77" s="131">
        <v>360.7</v>
      </c>
      <c r="E77" s="131"/>
      <c r="F77" s="131">
        <v>0</v>
      </c>
      <c r="G77" s="131"/>
      <c r="H77" s="131">
        <v>366</v>
      </c>
      <c r="I77" s="131"/>
      <c r="J77" s="131">
        <v>114</v>
      </c>
      <c r="K77" s="131"/>
      <c r="L77" s="131">
        <v>0</v>
      </c>
      <c r="M77" s="131" t="s">
        <v>1</v>
      </c>
      <c r="N77" s="131"/>
      <c r="O77" s="131">
        <v>252.4</v>
      </c>
      <c r="P77" s="131">
        <v>63.6</v>
      </c>
      <c r="Q77" s="131">
        <v>16.8</v>
      </c>
      <c r="R77" s="131">
        <v>332.8</v>
      </c>
      <c r="S77" s="131"/>
      <c r="T77" s="131">
        <v>3</v>
      </c>
      <c r="U77" s="131">
        <v>0</v>
      </c>
      <c r="V77" s="131">
        <v>0</v>
      </c>
      <c r="W77" s="131">
        <v>0</v>
      </c>
      <c r="X77" s="131">
        <v>0</v>
      </c>
      <c r="Y77" s="132">
        <v>41667</v>
      </c>
      <c r="Z77" s="131"/>
      <c r="AA77" s="131"/>
      <c r="AB77" s="131" t="str">
        <f t="shared" si="31"/>
        <v/>
      </c>
      <c r="AC77" s="131">
        <f t="shared" si="37"/>
        <v>8</v>
      </c>
      <c r="AD77" s="143" t="str">
        <f t="shared" si="35"/>
        <v>A</v>
      </c>
      <c r="AE77" s="145">
        <f t="shared" si="36"/>
        <v>923.1</v>
      </c>
      <c r="AF77" s="12" t="b">
        <f t="shared" si="32"/>
        <v>0</v>
      </c>
    </row>
    <row r="78" spans="1:32">
      <c r="A78" s="131" t="s">
        <v>426</v>
      </c>
      <c r="B78" s="131">
        <v>917.4</v>
      </c>
      <c r="C78" s="131">
        <v>0</v>
      </c>
      <c r="D78" s="131">
        <v>258.7</v>
      </c>
      <c r="E78" s="131"/>
      <c r="F78" s="131">
        <v>0</v>
      </c>
      <c r="G78" s="131"/>
      <c r="H78" s="131">
        <v>328</v>
      </c>
      <c r="I78" s="131"/>
      <c r="J78" s="131">
        <v>70</v>
      </c>
      <c r="K78" s="131"/>
      <c r="L78" s="131">
        <v>0</v>
      </c>
      <c r="M78" s="131" t="s">
        <v>1</v>
      </c>
      <c r="N78" s="131"/>
      <c r="O78" s="131">
        <v>661</v>
      </c>
      <c r="P78" s="131">
        <v>111.5</v>
      </c>
      <c r="Q78" s="131">
        <v>16</v>
      </c>
      <c r="R78" s="131">
        <v>788.5</v>
      </c>
      <c r="S78" s="131"/>
      <c r="T78" s="131">
        <v>0</v>
      </c>
      <c r="U78" s="131">
        <v>0</v>
      </c>
      <c r="V78" s="131">
        <v>0</v>
      </c>
      <c r="W78" s="131">
        <v>0</v>
      </c>
      <c r="X78" s="131">
        <v>1</v>
      </c>
      <c r="Y78" s="132">
        <v>41667</v>
      </c>
      <c r="Z78" s="131"/>
      <c r="AA78" s="131"/>
      <c r="AB78" s="131" t="str">
        <f t="shared" si="31"/>
        <v/>
      </c>
      <c r="AC78" s="131">
        <f t="shared" si="37"/>
        <v>8</v>
      </c>
      <c r="AD78" s="143" t="str">
        <f t="shared" si="35"/>
        <v>A</v>
      </c>
      <c r="AE78" s="145">
        <f t="shared" si="36"/>
        <v>917.4</v>
      </c>
      <c r="AF78" s="12" t="b">
        <f t="shared" si="32"/>
        <v>0</v>
      </c>
    </row>
    <row r="79" spans="1:32">
      <c r="A79" s="131" t="s">
        <v>480</v>
      </c>
      <c r="B79" s="131">
        <v>1600.4</v>
      </c>
      <c r="C79" s="131">
        <v>12</v>
      </c>
      <c r="D79" s="131">
        <v>369.1</v>
      </c>
      <c r="E79" s="131"/>
      <c r="F79" s="131">
        <v>31.8</v>
      </c>
      <c r="G79" s="131"/>
      <c r="H79" s="131">
        <v>380</v>
      </c>
      <c r="I79" s="131"/>
      <c r="J79" s="131">
        <v>151</v>
      </c>
      <c r="K79" s="131"/>
      <c r="L79" s="131">
        <v>0</v>
      </c>
      <c r="M79" s="131" t="s">
        <v>1</v>
      </c>
      <c r="N79" s="131"/>
      <c r="O79" s="131">
        <v>596</v>
      </c>
      <c r="P79" s="131">
        <v>179.5</v>
      </c>
      <c r="Q79" s="131">
        <v>21</v>
      </c>
      <c r="R79" s="131">
        <v>796.5</v>
      </c>
      <c r="S79" s="131"/>
      <c r="T79" s="131">
        <v>16.7</v>
      </c>
      <c r="U79" s="131">
        <v>0</v>
      </c>
      <c r="V79" s="131">
        <v>0</v>
      </c>
      <c r="W79" s="131">
        <v>0</v>
      </c>
      <c r="X79" s="131">
        <v>0</v>
      </c>
      <c r="Y79" s="132">
        <v>41667</v>
      </c>
      <c r="Z79" s="131"/>
      <c r="AA79" s="131"/>
      <c r="AB79" s="131" t="str">
        <f t="shared" si="31"/>
        <v/>
      </c>
      <c r="AC79" s="131">
        <f t="shared" si="37"/>
        <v>8</v>
      </c>
      <c r="AD79" s="143" t="str">
        <f t="shared" si="35"/>
        <v>A</v>
      </c>
      <c r="AE79" s="145">
        <f t="shared" si="36"/>
        <v>1583.7</v>
      </c>
      <c r="AF79" s="12" t="b">
        <f t="shared" si="32"/>
        <v>0</v>
      </c>
    </row>
    <row r="80" spans="1:32">
      <c r="A80" s="131" t="s">
        <v>498</v>
      </c>
      <c r="B80" s="131">
        <v>1798.3</v>
      </c>
      <c r="C80" s="131">
        <v>17</v>
      </c>
      <c r="D80" s="131">
        <v>474.1</v>
      </c>
      <c r="E80" s="131"/>
      <c r="F80" s="131">
        <v>100.5</v>
      </c>
      <c r="G80" s="131"/>
      <c r="H80" s="131">
        <v>1021</v>
      </c>
      <c r="I80" s="131"/>
      <c r="J80" s="131">
        <v>58</v>
      </c>
      <c r="K80" s="131"/>
      <c r="L80" s="131">
        <v>0</v>
      </c>
      <c r="M80" s="131" t="s">
        <v>1</v>
      </c>
      <c r="N80" s="131"/>
      <c r="O80" s="131">
        <v>617</v>
      </c>
      <c r="P80" s="131">
        <v>17</v>
      </c>
      <c r="Q80" s="131">
        <v>0</v>
      </c>
      <c r="R80" s="131">
        <v>634</v>
      </c>
      <c r="S80" s="131"/>
      <c r="T80" s="131">
        <v>7.4</v>
      </c>
      <c r="U80" s="131">
        <v>0</v>
      </c>
      <c r="V80" s="131">
        <v>0</v>
      </c>
      <c r="W80" s="131">
        <v>0</v>
      </c>
      <c r="X80" s="131">
        <v>0</v>
      </c>
      <c r="Y80" s="132">
        <v>41667</v>
      </c>
      <c r="Z80" s="131"/>
      <c r="AA80" s="131"/>
      <c r="AB80" s="131" t="str">
        <f t="shared" si="31"/>
        <v/>
      </c>
      <c r="AC80" s="131">
        <f t="shared" si="37"/>
        <v>8</v>
      </c>
      <c r="AD80" s="143" t="str">
        <f t="shared" si="35"/>
        <v>A</v>
      </c>
      <c r="AE80" s="145">
        <f t="shared" si="36"/>
        <v>1790.9</v>
      </c>
      <c r="AF80" s="12" t="b">
        <f t="shared" si="32"/>
        <v>0</v>
      </c>
    </row>
    <row r="81" spans="1:32">
      <c r="A81" s="131" t="s">
        <v>506</v>
      </c>
      <c r="B81" s="131">
        <v>397.6</v>
      </c>
      <c r="C81" s="131">
        <v>0</v>
      </c>
      <c r="D81" s="131">
        <v>62.2</v>
      </c>
      <c r="E81" s="131"/>
      <c r="F81" s="131">
        <v>0</v>
      </c>
      <c r="G81" s="131"/>
      <c r="H81" s="131">
        <v>75</v>
      </c>
      <c r="I81" s="131"/>
      <c r="J81" s="131">
        <v>9</v>
      </c>
      <c r="K81" s="131"/>
      <c r="L81" s="131">
        <v>26.1</v>
      </c>
      <c r="M81" s="131" t="s">
        <v>1</v>
      </c>
      <c r="N81" s="131"/>
      <c r="O81" s="131">
        <v>87</v>
      </c>
      <c r="P81" s="131">
        <v>0</v>
      </c>
      <c r="Q81" s="131">
        <v>12</v>
      </c>
      <c r="R81" s="131">
        <v>99</v>
      </c>
      <c r="S81" s="131"/>
      <c r="T81" s="131">
        <v>165.1</v>
      </c>
      <c r="U81" s="131">
        <v>34</v>
      </c>
      <c r="V81" s="131">
        <v>0</v>
      </c>
      <c r="W81" s="131">
        <v>0</v>
      </c>
      <c r="X81" s="131">
        <v>0</v>
      </c>
      <c r="Y81" s="132">
        <v>41667</v>
      </c>
      <c r="Z81" s="131"/>
      <c r="AA81" s="131"/>
      <c r="AB81" s="131" t="str">
        <f t="shared" si="31"/>
        <v/>
      </c>
      <c r="AC81" s="131">
        <f t="shared" si="37"/>
        <v>8</v>
      </c>
      <c r="AD81" s="143" t="str">
        <f t="shared" si="35"/>
        <v>A</v>
      </c>
      <c r="AE81" s="145">
        <f t="shared" si="36"/>
        <v>232.5</v>
      </c>
      <c r="AF81" s="12" t="b">
        <f t="shared" si="32"/>
        <v>0</v>
      </c>
    </row>
    <row r="82" spans="1:32">
      <c r="A82" s="131" t="s">
        <v>570</v>
      </c>
      <c r="B82" s="131">
        <v>800.2</v>
      </c>
      <c r="C82" s="131">
        <v>12.5</v>
      </c>
      <c r="D82" s="131">
        <v>221.8</v>
      </c>
      <c r="E82" s="131"/>
      <c r="F82" s="131">
        <v>0</v>
      </c>
      <c r="G82" s="131"/>
      <c r="H82" s="131">
        <v>529</v>
      </c>
      <c r="I82" s="131"/>
      <c r="J82" s="131">
        <v>42</v>
      </c>
      <c r="K82" s="131"/>
      <c r="L82" s="131">
        <v>0</v>
      </c>
      <c r="M82" s="131" t="s">
        <v>1</v>
      </c>
      <c r="N82" s="131"/>
      <c r="O82" s="131">
        <v>21</v>
      </c>
      <c r="P82" s="131">
        <v>33</v>
      </c>
      <c r="Q82" s="131">
        <v>5</v>
      </c>
      <c r="R82" s="131">
        <v>59</v>
      </c>
      <c r="S82" s="131"/>
      <c r="T82" s="131">
        <v>0</v>
      </c>
      <c r="U82" s="131">
        <v>0</v>
      </c>
      <c r="V82" s="131">
        <v>0</v>
      </c>
      <c r="W82" s="131">
        <v>0</v>
      </c>
      <c r="X82" s="131">
        <v>0</v>
      </c>
      <c r="Y82" s="132">
        <v>41667</v>
      </c>
      <c r="Z82" s="131"/>
      <c r="AA82" s="131"/>
      <c r="AB82" s="131" t="str">
        <f t="shared" si="31"/>
        <v/>
      </c>
      <c r="AC82" s="131">
        <f t="shared" si="37"/>
        <v>8</v>
      </c>
      <c r="AD82" s="143" t="str">
        <f t="shared" si="35"/>
        <v>A</v>
      </c>
      <c r="AE82" s="145">
        <f t="shared" si="36"/>
        <v>800.2</v>
      </c>
      <c r="AF82" s="12" t="b">
        <f t="shared" si="32"/>
        <v>0</v>
      </c>
    </row>
    <row r="83" spans="1:32">
      <c r="A83" s="131" t="s">
        <v>571</v>
      </c>
      <c r="B83" s="131">
        <v>19713.2</v>
      </c>
      <c r="C83" s="131">
        <v>285</v>
      </c>
      <c r="D83" s="131">
        <v>4379</v>
      </c>
      <c r="E83" s="131"/>
      <c r="F83" s="131">
        <v>24510</v>
      </c>
      <c r="G83" s="131"/>
      <c r="H83" s="131">
        <v>17615</v>
      </c>
      <c r="I83" s="131"/>
      <c r="J83" s="131">
        <v>904</v>
      </c>
      <c r="K83" s="131"/>
      <c r="L83" s="131">
        <v>966.1</v>
      </c>
      <c r="M83" s="131" t="s">
        <v>1</v>
      </c>
      <c r="N83" s="131"/>
      <c r="O83" s="131">
        <v>3931.7</v>
      </c>
      <c r="P83" s="131">
        <v>7064.2</v>
      </c>
      <c r="Q83" s="131">
        <v>10</v>
      </c>
      <c r="R83" s="131">
        <v>11005.9</v>
      </c>
      <c r="S83" s="131"/>
      <c r="T83" s="131">
        <v>0</v>
      </c>
      <c r="U83" s="131">
        <v>0</v>
      </c>
      <c r="V83" s="131">
        <v>0</v>
      </c>
      <c r="W83" s="131">
        <v>0</v>
      </c>
      <c r="X83" s="131">
        <v>0</v>
      </c>
      <c r="Y83" s="132">
        <v>41667</v>
      </c>
      <c r="Z83" s="131"/>
      <c r="AA83" s="131"/>
      <c r="AB83" s="131" t="str">
        <f t="shared" si="31"/>
        <v/>
      </c>
      <c r="AC83" s="131">
        <f t="shared" si="37"/>
        <v>8</v>
      </c>
      <c r="AD83" s="143" t="str">
        <f t="shared" ref="AD83" si="38">IF(Z83="", "A", "AM")</f>
        <v>A</v>
      </c>
      <c r="AE83" s="145">
        <f t="shared" ref="AE83" si="39">B83-T83</f>
        <v>19713.2</v>
      </c>
      <c r="AF83" s="12" t="b">
        <f t="shared" si="32"/>
        <v>0</v>
      </c>
    </row>
    <row r="84" spans="1:32">
      <c r="A84" s="12" t="s">
        <v>300</v>
      </c>
      <c r="B84" s="12">
        <v>310.5</v>
      </c>
      <c r="C84" s="12">
        <v>0</v>
      </c>
      <c r="D84" s="12">
        <v>76.3</v>
      </c>
      <c r="F84" s="12">
        <v>66.7</v>
      </c>
      <c r="H84" s="12">
        <v>121</v>
      </c>
      <c r="J84" s="12">
        <v>18</v>
      </c>
      <c r="L84" s="12">
        <v>0</v>
      </c>
      <c r="M84" s="12" t="s">
        <v>1</v>
      </c>
      <c r="O84" s="12">
        <v>92.5</v>
      </c>
      <c r="P84" s="12">
        <v>4</v>
      </c>
      <c r="Q84" s="12">
        <v>21</v>
      </c>
      <c r="R84" s="12">
        <v>117.5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58">
        <v>41682</v>
      </c>
      <c r="AB84" s="131" t="str">
        <f t="shared" si="31"/>
        <v/>
      </c>
      <c r="AC84" s="131">
        <f t="shared" si="37"/>
        <v>9</v>
      </c>
      <c r="AD84" s="143" t="str">
        <f t="shared" ref="AD84" si="40">IF(Z84="", "A", "AM")</f>
        <v>A</v>
      </c>
      <c r="AE84" s="145">
        <f t="shared" ref="AE84" si="41">B84-T84</f>
        <v>310.5</v>
      </c>
      <c r="AF84" s="12" t="b">
        <f t="shared" si="32"/>
        <v>0</v>
      </c>
    </row>
    <row r="85" spans="1:32">
      <c r="A85" s="131" t="s">
        <v>344</v>
      </c>
      <c r="B85" s="131">
        <v>587.79999999999995</v>
      </c>
      <c r="C85" s="131">
        <v>12</v>
      </c>
      <c r="D85" s="131">
        <v>150.9</v>
      </c>
      <c r="E85" s="131"/>
      <c r="F85" s="131">
        <v>0</v>
      </c>
      <c r="G85" s="131"/>
      <c r="H85" s="131">
        <v>211</v>
      </c>
      <c r="I85" s="131"/>
      <c r="J85" s="131">
        <v>66</v>
      </c>
      <c r="K85" s="131"/>
      <c r="L85" s="131">
        <v>0</v>
      </c>
      <c r="M85" s="131" t="s">
        <v>1</v>
      </c>
      <c r="N85" s="131"/>
      <c r="O85" s="131">
        <v>182</v>
      </c>
      <c r="P85" s="131">
        <v>33</v>
      </c>
      <c r="Q85" s="131">
        <v>175</v>
      </c>
      <c r="R85" s="131">
        <v>390</v>
      </c>
      <c r="S85" s="131"/>
      <c r="T85" s="131">
        <v>9.3000000000000007</v>
      </c>
      <c r="U85" s="131">
        <v>0</v>
      </c>
      <c r="V85" s="131">
        <v>0</v>
      </c>
      <c r="W85" s="131">
        <v>0</v>
      </c>
      <c r="X85" s="131">
        <v>0</v>
      </c>
      <c r="Y85" s="132">
        <v>41682</v>
      </c>
      <c r="Z85" s="131"/>
      <c r="AA85" s="131"/>
      <c r="AB85" s="131" t="str">
        <f t="shared" si="31"/>
        <v/>
      </c>
      <c r="AC85" s="131">
        <f t="shared" ref="AC85:AC92" si="42">IF(Y85=Y84,AC84,AC84+1)</f>
        <v>9</v>
      </c>
      <c r="AD85" s="143" t="str">
        <f t="shared" ref="AD85:AD92" si="43">IF(Z85="", "A", "AM")</f>
        <v>A</v>
      </c>
      <c r="AE85" s="145">
        <f t="shared" ref="AE85:AE92" si="44">B85-T85</f>
        <v>578.5</v>
      </c>
      <c r="AF85" s="12" t="b">
        <f t="shared" si="32"/>
        <v>0</v>
      </c>
    </row>
    <row r="86" spans="1:32">
      <c r="A86" s="131" t="s">
        <v>362</v>
      </c>
      <c r="B86" s="131">
        <v>734.5</v>
      </c>
      <c r="C86" s="131">
        <v>5</v>
      </c>
      <c r="D86" s="131">
        <v>262.10000000000002</v>
      </c>
      <c r="E86" s="131"/>
      <c r="F86" s="131">
        <v>0</v>
      </c>
      <c r="G86" s="131"/>
      <c r="H86" s="131">
        <v>262</v>
      </c>
      <c r="I86" s="131"/>
      <c r="J86" s="131">
        <v>31</v>
      </c>
      <c r="K86" s="131"/>
      <c r="L86" s="131">
        <v>0</v>
      </c>
      <c r="M86" s="131" t="s">
        <v>1</v>
      </c>
      <c r="N86" s="131"/>
      <c r="O86" s="131">
        <v>86</v>
      </c>
      <c r="P86" s="131">
        <v>34</v>
      </c>
      <c r="Q86" s="131">
        <v>25</v>
      </c>
      <c r="R86" s="131">
        <v>145</v>
      </c>
      <c r="S86" s="131"/>
      <c r="T86" s="131">
        <v>147.9</v>
      </c>
      <c r="U86" s="131">
        <v>4</v>
      </c>
      <c r="V86" s="131">
        <v>0</v>
      </c>
      <c r="W86" s="131">
        <v>0</v>
      </c>
      <c r="X86" s="131">
        <v>0</v>
      </c>
      <c r="Y86" s="132">
        <v>41682</v>
      </c>
      <c r="Z86" s="131"/>
      <c r="AA86" s="131"/>
      <c r="AB86" s="131" t="str">
        <f t="shared" si="31"/>
        <v/>
      </c>
      <c r="AC86" s="131">
        <f t="shared" si="42"/>
        <v>9</v>
      </c>
      <c r="AD86" s="143" t="str">
        <f t="shared" si="43"/>
        <v>A</v>
      </c>
      <c r="AE86" s="145">
        <f t="shared" si="44"/>
        <v>586.6</v>
      </c>
      <c r="AF86" s="12" t="b">
        <f t="shared" si="32"/>
        <v>0</v>
      </c>
    </row>
    <row r="87" spans="1:32">
      <c r="A87" s="131" t="s">
        <v>379</v>
      </c>
      <c r="B87" s="131">
        <v>78.5</v>
      </c>
      <c r="C87" s="131">
        <v>0</v>
      </c>
      <c r="D87" s="131">
        <v>0</v>
      </c>
      <c r="E87" s="131"/>
      <c r="F87" s="131">
        <v>0</v>
      </c>
      <c r="G87" s="131"/>
      <c r="H87" s="131">
        <v>28</v>
      </c>
      <c r="I87" s="131"/>
      <c r="J87" s="131">
        <v>5</v>
      </c>
      <c r="K87" s="131"/>
      <c r="L87" s="131">
        <v>0</v>
      </c>
      <c r="M87" s="131" t="s">
        <v>1</v>
      </c>
      <c r="N87" s="131"/>
      <c r="O87" s="131">
        <v>34</v>
      </c>
      <c r="P87" s="131">
        <v>0</v>
      </c>
      <c r="Q87" s="131">
        <v>0</v>
      </c>
      <c r="R87" s="131">
        <v>34</v>
      </c>
      <c r="S87" s="131"/>
      <c r="T87" s="131">
        <v>0</v>
      </c>
      <c r="U87" s="131">
        <v>0</v>
      </c>
      <c r="V87" s="131">
        <v>0</v>
      </c>
      <c r="W87" s="131">
        <v>0</v>
      </c>
      <c r="X87" s="131">
        <v>0</v>
      </c>
      <c r="Y87" s="132">
        <v>41682</v>
      </c>
      <c r="Z87" s="131"/>
      <c r="AA87" s="131"/>
      <c r="AB87" s="131" t="str">
        <f t="shared" si="31"/>
        <v/>
      </c>
      <c r="AC87" s="131">
        <f t="shared" si="42"/>
        <v>9</v>
      </c>
      <c r="AD87" s="143" t="str">
        <f t="shared" si="43"/>
        <v>A</v>
      </c>
      <c r="AE87" s="145">
        <f t="shared" si="44"/>
        <v>78.5</v>
      </c>
      <c r="AF87" s="12" t="b">
        <f t="shared" si="32"/>
        <v>0</v>
      </c>
    </row>
    <row r="88" spans="1:32">
      <c r="A88" s="131" t="s">
        <v>406</v>
      </c>
      <c r="B88" s="131">
        <v>925</v>
      </c>
      <c r="C88" s="131">
        <v>4.5</v>
      </c>
      <c r="D88" s="131">
        <v>361.9</v>
      </c>
      <c r="E88" s="131"/>
      <c r="F88" s="131">
        <v>161</v>
      </c>
      <c r="G88" s="131"/>
      <c r="H88" s="131">
        <v>269</v>
      </c>
      <c r="I88" s="131"/>
      <c r="J88" s="131">
        <v>62</v>
      </c>
      <c r="K88" s="131"/>
      <c r="L88" s="131">
        <v>0</v>
      </c>
      <c r="M88" s="131" t="s">
        <v>1</v>
      </c>
      <c r="N88" s="131"/>
      <c r="O88" s="131">
        <v>456</v>
      </c>
      <c r="P88" s="131">
        <v>285</v>
      </c>
      <c r="Q88" s="131">
        <v>32</v>
      </c>
      <c r="R88" s="131">
        <v>773</v>
      </c>
      <c r="S88" s="131"/>
      <c r="T88" s="131">
        <v>69.5</v>
      </c>
      <c r="U88" s="131">
        <v>26</v>
      </c>
      <c r="V88" s="131">
        <v>0</v>
      </c>
      <c r="W88" s="131">
        <v>0</v>
      </c>
      <c r="X88" s="131">
        <v>0</v>
      </c>
      <c r="Y88" s="132">
        <v>41682</v>
      </c>
      <c r="Z88" s="131"/>
      <c r="AA88" s="131"/>
      <c r="AB88" s="131" t="str">
        <f t="shared" si="31"/>
        <v/>
      </c>
      <c r="AC88" s="131">
        <f t="shared" si="42"/>
        <v>9</v>
      </c>
      <c r="AD88" s="143" t="str">
        <f t="shared" si="43"/>
        <v>A</v>
      </c>
      <c r="AE88" s="145">
        <f t="shared" si="44"/>
        <v>855.5</v>
      </c>
      <c r="AF88" s="12" t="b">
        <f t="shared" si="32"/>
        <v>0</v>
      </c>
    </row>
    <row r="89" spans="1:32">
      <c r="A89" s="131" t="s">
        <v>492</v>
      </c>
      <c r="B89" s="131">
        <v>778.5</v>
      </c>
      <c r="C89" s="131">
        <v>0</v>
      </c>
      <c r="D89" s="131">
        <v>122.2</v>
      </c>
      <c r="E89" s="131"/>
      <c r="F89" s="131">
        <v>0</v>
      </c>
      <c r="G89" s="131"/>
      <c r="H89" s="131">
        <v>307</v>
      </c>
      <c r="I89" s="131"/>
      <c r="J89" s="131">
        <v>53</v>
      </c>
      <c r="K89" s="131"/>
      <c r="L89" s="131">
        <v>0</v>
      </c>
      <c r="M89" s="131" t="s">
        <v>1</v>
      </c>
      <c r="N89" s="131"/>
      <c r="O89" s="131">
        <v>114</v>
      </c>
      <c r="P89" s="131">
        <v>2</v>
      </c>
      <c r="Q89" s="131">
        <v>8</v>
      </c>
      <c r="R89" s="131">
        <v>124</v>
      </c>
      <c r="S89" s="131"/>
      <c r="T89" s="131">
        <v>0</v>
      </c>
      <c r="U89" s="131">
        <v>0</v>
      </c>
      <c r="V89" s="131">
        <v>0</v>
      </c>
      <c r="W89" s="131">
        <v>0</v>
      </c>
      <c r="X89" s="131">
        <v>1</v>
      </c>
      <c r="Y89" s="132">
        <v>41682</v>
      </c>
      <c r="Z89" s="131"/>
      <c r="AA89" s="131"/>
      <c r="AB89" s="131" t="str">
        <f t="shared" si="31"/>
        <v/>
      </c>
      <c r="AC89" s="131">
        <f t="shared" si="42"/>
        <v>9</v>
      </c>
      <c r="AD89" s="143" t="str">
        <f t="shared" si="43"/>
        <v>A</v>
      </c>
      <c r="AE89" s="145">
        <f t="shared" si="44"/>
        <v>778.5</v>
      </c>
      <c r="AF89" s="12" t="b">
        <f t="shared" si="32"/>
        <v>0</v>
      </c>
    </row>
    <row r="90" spans="1:32">
      <c r="A90" s="131" t="s">
        <v>512</v>
      </c>
      <c r="B90" s="131">
        <v>668.5</v>
      </c>
      <c r="C90" s="131">
        <v>15.5</v>
      </c>
      <c r="D90" s="131">
        <v>176.1</v>
      </c>
      <c r="E90" s="131"/>
      <c r="F90" s="131">
        <v>0</v>
      </c>
      <c r="G90" s="131"/>
      <c r="H90" s="131">
        <v>287</v>
      </c>
      <c r="I90" s="131"/>
      <c r="J90" s="131">
        <v>65</v>
      </c>
      <c r="K90" s="131"/>
      <c r="L90" s="131">
        <v>0</v>
      </c>
      <c r="M90" s="131" t="s">
        <v>1</v>
      </c>
      <c r="N90" s="131"/>
      <c r="O90" s="131">
        <v>86.5</v>
      </c>
      <c r="P90" s="131">
        <v>5.5</v>
      </c>
      <c r="Q90" s="131">
        <v>36.5</v>
      </c>
      <c r="R90" s="131">
        <v>128.5</v>
      </c>
      <c r="S90" s="131"/>
      <c r="T90" s="131">
        <v>0</v>
      </c>
      <c r="U90" s="131">
        <v>0</v>
      </c>
      <c r="V90" s="131">
        <v>0</v>
      </c>
      <c r="W90" s="131">
        <v>0</v>
      </c>
      <c r="X90" s="131">
        <v>0</v>
      </c>
      <c r="Y90" s="132">
        <v>41682</v>
      </c>
      <c r="Z90" s="131"/>
      <c r="AA90" s="131"/>
      <c r="AB90" s="131" t="str">
        <f t="shared" si="31"/>
        <v/>
      </c>
      <c r="AC90" s="131">
        <f t="shared" si="42"/>
        <v>9</v>
      </c>
      <c r="AD90" s="143" t="str">
        <f t="shared" si="43"/>
        <v>A</v>
      </c>
      <c r="AE90" s="145">
        <f t="shared" si="44"/>
        <v>668.5</v>
      </c>
      <c r="AF90" s="12" t="b">
        <f t="shared" si="32"/>
        <v>0</v>
      </c>
    </row>
    <row r="91" spans="1:32">
      <c r="A91" s="131" t="s">
        <v>298</v>
      </c>
      <c r="B91" s="131">
        <v>644</v>
      </c>
      <c r="C91" s="131">
        <v>9</v>
      </c>
      <c r="D91" s="131">
        <v>115.3</v>
      </c>
      <c r="E91" s="131"/>
      <c r="F91" s="131">
        <v>661.7</v>
      </c>
      <c r="G91" s="131"/>
      <c r="H91" s="131">
        <v>242</v>
      </c>
      <c r="I91" s="131"/>
      <c r="J91" s="131">
        <v>26</v>
      </c>
      <c r="K91" s="131"/>
      <c r="L91" s="131">
        <v>43</v>
      </c>
      <c r="M91" s="131" t="s">
        <v>1</v>
      </c>
      <c r="N91" s="131"/>
      <c r="O91" s="131">
        <v>101</v>
      </c>
      <c r="P91" s="131">
        <v>0</v>
      </c>
      <c r="Q91" s="131">
        <v>26</v>
      </c>
      <c r="R91" s="131">
        <v>127</v>
      </c>
      <c r="S91" s="131"/>
      <c r="T91" s="131">
        <v>10.6</v>
      </c>
      <c r="U91" s="131">
        <v>0</v>
      </c>
      <c r="V91" s="131">
        <v>0</v>
      </c>
      <c r="W91" s="131">
        <v>0</v>
      </c>
      <c r="X91" s="131">
        <v>0</v>
      </c>
      <c r="Y91" s="132">
        <v>41688</v>
      </c>
      <c r="Z91" s="131"/>
      <c r="AA91" s="131"/>
      <c r="AB91" s="131" t="str">
        <f t="shared" si="31"/>
        <v/>
      </c>
      <c r="AC91" s="131">
        <f t="shared" si="42"/>
        <v>10</v>
      </c>
      <c r="AD91" s="143" t="str">
        <f t="shared" si="43"/>
        <v>A</v>
      </c>
      <c r="AE91" s="145">
        <f t="shared" si="44"/>
        <v>633.4</v>
      </c>
      <c r="AF91" s="12" t="b">
        <f t="shared" si="32"/>
        <v>0</v>
      </c>
    </row>
    <row r="92" spans="1:32">
      <c r="A92" s="131" t="s">
        <v>311</v>
      </c>
      <c r="B92" s="131">
        <v>206.6</v>
      </c>
      <c r="C92" s="131">
        <v>4</v>
      </c>
      <c r="D92" s="131">
        <v>39.9</v>
      </c>
      <c r="E92" s="131"/>
      <c r="F92" s="131">
        <v>190.2</v>
      </c>
      <c r="G92" s="131"/>
      <c r="H92" s="131">
        <v>105</v>
      </c>
      <c r="I92" s="131"/>
      <c r="J92" s="131">
        <v>21</v>
      </c>
      <c r="K92" s="131"/>
      <c r="L92" s="131">
        <v>0</v>
      </c>
      <c r="M92" s="131" t="s">
        <v>1</v>
      </c>
      <c r="N92" s="131"/>
      <c r="O92" s="131">
        <v>55</v>
      </c>
      <c r="P92" s="131">
        <v>24</v>
      </c>
      <c r="Q92" s="131">
        <v>10</v>
      </c>
      <c r="R92" s="131">
        <v>89</v>
      </c>
      <c r="S92" s="131"/>
      <c r="T92" s="131">
        <v>1.3</v>
      </c>
      <c r="U92" s="131">
        <v>0</v>
      </c>
      <c r="V92" s="131">
        <v>0</v>
      </c>
      <c r="W92" s="131">
        <v>0</v>
      </c>
      <c r="X92" s="131">
        <v>0</v>
      </c>
      <c r="Y92" s="132">
        <v>41688</v>
      </c>
      <c r="Z92" s="131"/>
      <c r="AA92" s="131"/>
      <c r="AB92" s="131" t="str">
        <f t="shared" si="31"/>
        <v/>
      </c>
      <c r="AC92" s="131">
        <f t="shared" si="42"/>
        <v>10</v>
      </c>
      <c r="AD92" s="143" t="str">
        <f t="shared" si="43"/>
        <v>A</v>
      </c>
      <c r="AE92" s="145">
        <f t="shared" si="44"/>
        <v>205.3</v>
      </c>
      <c r="AF92" s="12" t="b">
        <f t="shared" si="32"/>
        <v>0</v>
      </c>
    </row>
    <row r="93" spans="1:32">
      <c r="A93" s="131" t="s">
        <v>353</v>
      </c>
      <c r="B93" s="131">
        <v>881.5</v>
      </c>
      <c r="C93" s="131">
        <v>7</v>
      </c>
      <c r="D93" s="131">
        <v>178.7</v>
      </c>
      <c r="E93" s="131"/>
      <c r="F93" s="131">
        <v>9.6</v>
      </c>
      <c r="G93" s="131"/>
      <c r="H93" s="131">
        <v>325</v>
      </c>
      <c r="I93" s="131"/>
      <c r="J93" s="131">
        <v>58</v>
      </c>
      <c r="K93" s="131"/>
      <c r="L93" s="131">
        <v>0</v>
      </c>
      <c r="M93" s="131" t="s">
        <v>1</v>
      </c>
      <c r="N93" s="131"/>
      <c r="O93" s="131">
        <v>94</v>
      </c>
      <c r="P93" s="131">
        <v>124</v>
      </c>
      <c r="Q93" s="131">
        <v>42</v>
      </c>
      <c r="R93" s="131">
        <v>260</v>
      </c>
      <c r="S93" s="131"/>
      <c r="T93" s="131">
        <v>0</v>
      </c>
      <c r="U93" s="131">
        <v>0</v>
      </c>
      <c r="V93" s="131">
        <v>0</v>
      </c>
      <c r="W93" s="131">
        <v>0</v>
      </c>
      <c r="X93" s="131">
        <v>0</v>
      </c>
      <c r="Y93" s="132">
        <v>41688</v>
      </c>
      <c r="Z93" s="131"/>
      <c r="AA93" s="131"/>
      <c r="AB93" s="131" t="str">
        <f t="shared" si="31"/>
        <v/>
      </c>
      <c r="AC93" s="131">
        <f t="shared" ref="AC93:AC154" si="45">IF(Y93=Y92,AC92,AC92+1)</f>
        <v>10</v>
      </c>
      <c r="AD93" s="143" t="str">
        <f t="shared" ref="AD93:AD154" si="46">IF(Z93="", "A", "AM")</f>
        <v>A</v>
      </c>
      <c r="AE93" s="145">
        <f t="shared" ref="AE93:AE154" si="47">B93-T93</f>
        <v>881.5</v>
      </c>
      <c r="AF93" s="12" t="b">
        <f t="shared" si="32"/>
        <v>0</v>
      </c>
    </row>
    <row r="94" spans="1:32">
      <c r="A94" s="131" t="s">
        <v>361</v>
      </c>
      <c r="B94" s="131">
        <v>1258.5</v>
      </c>
      <c r="C94" s="131">
        <v>14</v>
      </c>
      <c r="D94" s="131">
        <v>253</v>
      </c>
      <c r="E94" s="131"/>
      <c r="F94" s="131">
        <v>0</v>
      </c>
      <c r="G94" s="131"/>
      <c r="H94" s="131">
        <v>706</v>
      </c>
      <c r="I94" s="131"/>
      <c r="J94" s="131">
        <v>75</v>
      </c>
      <c r="K94" s="131"/>
      <c r="L94" s="131">
        <v>0</v>
      </c>
      <c r="M94" s="131" t="s">
        <v>1</v>
      </c>
      <c r="N94" s="131"/>
      <c r="O94" s="131">
        <v>348</v>
      </c>
      <c r="P94" s="131">
        <v>19</v>
      </c>
      <c r="Q94" s="131">
        <v>5</v>
      </c>
      <c r="R94" s="131">
        <v>372</v>
      </c>
      <c r="S94" s="131"/>
      <c r="T94" s="131">
        <v>0</v>
      </c>
      <c r="U94" s="131">
        <v>0</v>
      </c>
      <c r="V94" s="131">
        <v>0</v>
      </c>
      <c r="W94" s="131">
        <v>0</v>
      </c>
      <c r="X94" s="131">
        <v>0</v>
      </c>
      <c r="Y94" s="132">
        <v>41688</v>
      </c>
      <c r="Z94" s="131"/>
      <c r="AA94" s="131"/>
      <c r="AB94" s="131" t="str">
        <f t="shared" si="31"/>
        <v/>
      </c>
      <c r="AC94" s="131">
        <f t="shared" si="45"/>
        <v>10</v>
      </c>
      <c r="AD94" s="143" t="str">
        <f t="shared" si="46"/>
        <v>A</v>
      </c>
      <c r="AE94" s="145">
        <f t="shared" si="47"/>
        <v>1258.5</v>
      </c>
      <c r="AF94" s="12" t="b">
        <f t="shared" si="32"/>
        <v>0</v>
      </c>
    </row>
    <row r="95" spans="1:32">
      <c r="A95" s="131" t="s">
        <v>366</v>
      </c>
      <c r="B95" s="131">
        <v>2636</v>
      </c>
      <c r="C95" s="131">
        <v>15.5</v>
      </c>
      <c r="D95" s="131">
        <v>770.2</v>
      </c>
      <c r="E95" s="131"/>
      <c r="F95" s="131">
        <v>209.9</v>
      </c>
      <c r="G95" s="131"/>
      <c r="H95" s="131">
        <v>821</v>
      </c>
      <c r="I95" s="131"/>
      <c r="J95" s="131">
        <v>152</v>
      </c>
      <c r="K95" s="131"/>
      <c r="L95" s="131">
        <v>0</v>
      </c>
      <c r="M95" s="131" t="s">
        <v>1</v>
      </c>
      <c r="N95" s="131"/>
      <c r="O95" s="131">
        <v>1356</v>
      </c>
      <c r="P95" s="131">
        <v>1063</v>
      </c>
      <c r="Q95" s="131">
        <v>0</v>
      </c>
      <c r="R95" s="131">
        <v>2419</v>
      </c>
      <c r="S95" s="131"/>
      <c r="T95" s="131">
        <v>51.5</v>
      </c>
      <c r="U95" s="131">
        <v>0</v>
      </c>
      <c r="V95" s="131">
        <v>0</v>
      </c>
      <c r="W95" s="131">
        <v>0</v>
      </c>
      <c r="X95" s="131">
        <v>0</v>
      </c>
      <c r="Y95" s="132">
        <v>41688</v>
      </c>
      <c r="Z95" s="131"/>
      <c r="AA95" s="131"/>
      <c r="AB95" s="131" t="str">
        <f t="shared" si="31"/>
        <v/>
      </c>
      <c r="AC95" s="131">
        <f t="shared" si="45"/>
        <v>10</v>
      </c>
      <c r="AD95" s="143" t="str">
        <f t="shared" si="46"/>
        <v>A</v>
      </c>
      <c r="AE95" s="145">
        <f t="shared" si="47"/>
        <v>2584.5</v>
      </c>
      <c r="AF95" s="12" t="b">
        <f t="shared" si="32"/>
        <v>0</v>
      </c>
    </row>
    <row r="96" spans="1:32">
      <c r="A96" s="131" t="s">
        <v>387</v>
      </c>
      <c r="B96" s="131">
        <v>546.5</v>
      </c>
      <c r="C96" s="131">
        <v>5</v>
      </c>
      <c r="D96" s="131">
        <v>347.4</v>
      </c>
      <c r="E96" s="131"/>
      <c r="F96" s="131">
        <v>1.7</v>
      </c>
      <c r="G96" s="131"/>
      <c r="H96" s="131">
        <v>317</v>
      </c>
      <c r="I96" s="131"/>
      <c r="J96" s="131">
        <v>49</v>
      </c>
      <c r="K96" s="131"/>
      <c r="L96" s="131">
        <v>0</v>
      </c>
      <c r="M96" s="131" t="s">
        <v>1</v>
      </c>
      <c r="N96" s="131"/>
      <c r="O96" s="131">
        <v>437</v>
      </c>
      <c r="P96" s="131">
        <v>19</v>
      </c>
      <c r="Q96" s="131">
        <v>72</v>
      </c>
      <c r="R96" s="131">
        <v>528</v>
      </c>
      <c r="S96" s="131"/>
      <c r="T96" s="131">
        <v>0</v>
      </c>
      <c r="U96" s="131">
        <v>0</v>
      </c>
      <c r="V96" s="131">
        <v>0</v>
      </c>
      <c r="W96" s="131">
        <v>0</v>
      </c>
      <c r="X96" s="131">
        <v>0</v>
      </c>
      <c r="Y96" s="132">
        <v>41688</v>
      </c>
      <c r="Z96" s="131"/>
      <c r="AA96" s="131"/>
      <c r="AB96" s="131" t="str">
        <f t="shared" si="31"/>
        <v/>
      </c>
      <c r="AC96" s="131">
        <f t="shared" si="45"/>
        <v>10</v>
      </c>
      <c r="AD96" s="143" t="str">
        <f t="shared" si="46"/>
        <v>A</v>
      </c>
      <c r="AE96" s="145">
        <f t="shared" si="47"/>
        <v>546.5</v>
      </c>
      <c r="AF96" s="12" t="b">
        <f t="shared" si="32"/>
        <v>0</v>
      </c>
    </row>
    <row r="97" spans="1:32">
      <c r="A97" s="131" t="s">
        <v>389</v>
      </c>
      <c r="B97" s="131">
        <v>2374.4</v>
      </c>
      <c r="C97" s="131">
        <v>18</v>
      </c>
      <c r="D97" s="131">
        <v>490.5</v>
      </c>
      <c r="E97" s="131"/>
      <c r="F97" s="131">
        <v>29.8</v>
      </c>
      <c r="G97" s="131"/>
      <c r="H97" s="131">
        <v>1191</v>
      </c>
      <c r="I97" s="131"/>
      <c r="J97" s="131">
        <v>171</v>
      </c>
      <c r="K97" s="131"/>
      <c r="L97" s="131">
        <v>41.4</v>
      </c>
      <c r="M97" s="131" t="s">
        <v>1</v>
      </c>
      <c r="N97" s="131"/>
      <c r="O97" s="131">
        <v>560</v>
      </c>
      <c r="P97" s="131">
        <v>28</v>
      </c>
      <c r="Q97" s="131">
        <v>14</v>
      </c>
      <c r="R97" s="131">
        <v>602</v>
      </c>
      <c r="S97" s="131"/>
      <c r="T97" s="131">
        <v>18.8</v>
      </c>
      <c r="U97" s="131">
        <v>0</v>
      </c>
      <c r="V97" s="131">
        <v>0</v>
      </c>
      <c r="W97" s="131">
        <v>0</v>
      </c>
      <c r="X97" s="131">
        <v>0</v>
      </c>
      <c r="Y97" s="132">
        <v>41688</v>
      </c>
      <c r="Z97" s="131"/>
      <c r="AA97" s="131"/>
      <c r="AB97" s="131" t="str">
        <f t="shared" si="31"/>
        <v/>
      </c>
      <c r="AC97" s="131">
        <f t="shared" si="45"/>
        <v>10</v>
      </c>
      <c r="AD97" s="143" t="str">
        <f t="shared" si="46"/>
        <v>A</v>
      </c>
      <c r="AE97" s="145">
        <f t="shared" si="47"/>
        <v>2355.6</v>
      </c>
      <c r="AF97" s="12" t="b">
        <f t="shared" si="32"/>
        <v>0</v>
      </c>
    </row>
    <row r="98" spans="1:32">
      <c r="A98" s="131" t="s">
        <v>400</v>
      </c>
      <c r="B98" s="131">
        <v>720.2</v>
      </c>
      <c r="C98" s="131">
        <v>0</v>
      </c>
      <c r="D98" s="131">
        <v>191.7</v>
      </c>
      <c r="E98" s="131"/>
      <c r="F98" s="131">
        <v>0</v>
      </c>
      <c r="G98" s="131"/>
      <c r="H98" s="131">
        <v>124</v>
      </c>
      <c r="I98" s="131"/>
      <c r="J98" s="131">
        <v>84</v>
      </c>
      <c r="K98" s="131"/>
      <c r="L98" s="131">
        <v>0</v>
      </c>
      <c r="M98" s="131" t="s">
        <v>1</v>
      </c>
      <c r="N98" s="131"/>
      <c r="O98" s="131">
        <v>450</v>
      </c>
      <c r="P98" s="131">
        <v>8</v>
      </c>
      <c r="Q98" s="131">
        <v>141</v>
      </c>
      <c r="R98" s="131">
        <v>599</v>
      </c>
      <c r="S98" s="131"/>
      <c r="T98" s="131">
        <v>0</v>
      </c>
      <c r="U98" s="131">
        <v>0</v>
      </c>
      <c r="V98" s="131">
        <v>0</v>
      </c>
      <c r="W98" s="131">
        <v>0</v>
      </c>
      <c r="X98" s="131">
        <v>0</v>
      </c>
      <c r="Y98" s="132">
        <v>41688</v>
      </c>
      <c r="Z98" s="131"/>
      <c r="AA98" s="131"/>
      <c r="AB98" s="131" t="str">
        <f t="shared" si="31"/>
        <v/>
      </c>
      <c r="AC98" s="131">
        <f t="shared" si="45"/>
        <v>10</v>
      </c>
      <c r="AD98" s="143" t="str">
        <f t="shared" si="46"/>
        <v>A</v>
      </c>
      <c r="AE98" s="145">
        <f t="shared" si="47"/>
        <v>720.2</v>
      </c>
      <c r="AF98" s="12" t="b">
        <f t="shared" si="32"/>
        <v>0</v>
      </c>
    </row>
    <row r="99" spans="1:32">
      <c r="A99" s="131" t="s">
        <v>419</v>
      </c>
      <c r="B99" s="131">
        <v>474.1</v>
      </c>
      <c r="C99" s="131">
        <v>0</v>
      </c>
      <c r="D99" s="131">
        <v>205.2</v>
      </c>
      <c r="E99" s="131"/>
      <c r="F99" s="131">
        <v>0</v>
      </c>
      <c r="G99" s="131"/>
      <c r="H99" s="131">
        <v>132</v>
      </c>
      <c r="I99" s="131"/>
      <c r="J99" s="131">
        <v>38</v>
      </c>
      <c r="K99" s="131"/>
      <c r="L99" s="131">
        <v>0</v>
      </c>
      <c r="M99" s="131" t="s">
        <v>1</v>
      </c>
      <c r="N99" s="131"/>
      <c r="O99" s="131">
        <v>408</v>
      </c>
      <c r="P99" s="131">
        <v>9.5</v>
      </c>
      <c r="Q99" s="131">
        <v>55</v>
      </c>
      <c r="R99" s="131">
        <v>472.5</v>
      </c>
      <c r="S99" s="131"/>
      <c r="T99" s="131">
        <v>0</v>
      </c>
      <c r="U99" s="131">
        <v>0</v>
      </c>
      <c r="V99" s="131">
        <v>0</v>
      </c>
      <c r="W99" s="131">
        <v>0</v>
      </c>
      <c r="X99" s="131">
        <v>0</v>
      </c>
      <c r="Y99" s="132">
        <v>41688</v>
      </c>
      <c r="Z99" s="131"/>
      <c r="AA99" s="131"/>
      <c r="AB99" s="131" t="str">
        <f t="shared" si="31"/>
        <v/>
      </c>
      <c r="AC99" s="131">
        <f t="shared" si="45"/>
        <v>10</v>
      </c>
      <c r="AD99" s="143" t="str">
        <f t="shared" si="46"/>
        <v>A</v>
      </c>
      <c r="AE99" s="145">
        <f t="shared" si="47"/>
        <v>474.1</v>
      </c>
      <c r="AF99" s="12" t="b">
        <f t="shared" si="32"/>
        <v>0</v>
      </c>
    </row>
    <row r="100" spans="1:32">
      <c r="A100" s="131" t="s">
        <v>424</v>
      </c>
      <c r="B100" s="131">
        <v>388</v>
      </c>
      <c r="C100" s="131">
        <v>0</v>
      </c>
      <c r="D100" s="131">
        <v>116.2</v>
      </c>
      <c r="E100" s="131"/>
      <c r="F100" s="131">
        <v>0</v>
      </c>
      <c r="G100" s="131"/>
      <c r="H100" s="131">
        <v>114</v>
      </c>
      <c r="I100" s="131"/>
      <c r="J100" s="131">
        <v>21</v>
      </c>
      <c r="K100" s="131"/>
      <c r="L100" s="131">
        <v>0</v>
      </c>
      <c r="M100" s="131" t="s">
        <v>1</v>
      </c>
      <c r="N100" s="131"/>
      <c r="O100" s="131">
        <v>279</v>
      </c>
      <c r="P100" s="131">
        <v>8</v>
      </c>
      <c r="Q100" s="131">
        <v>116</v>
      </c>
      <c r="R100" s="131">
        <v>403</v>
      </c>
      <c r="S100" s="131"/>
      <c r="T100" s="131">
        <v>0</v>
      </c>
      <c r="U100" s="131">
        <v>0</v>
      </c>
      <c r="V100" s="131">
        <v>0</v>
      </c>
      <c r="W100" s="131">
        <v>0</v>
      </c>
      <c r="X100" s="131">
        <v>0</v>
      </c>
      <c r="Y100" s="132">
        <v>41688</v>
      </c>
      <c r="Z100" s="131"/>
      <c r="AA100" s="131"/>
      <c r="AB100" s="131" t="str">
        <f t="shared" si="31"/>
        <v/>
      </c>
      <c r="AC100" s="131">
        <f t="shared" si="45"/>
        <v>10</v>
      </c>
      <c r="AD100" s="143" t="str">
        <f t="shared" si="46"/>
        <v>A</v>
      </c>
      <c r="AE100" s="145">
        <f t="shared" si="47"/>
        <v>388</v>
      </c>
      <c r="AF100" s="12" t="b">
        <f t="shared" si="32"/>
        <v>0</v>
      </c>
    </row>
    <row r="101" spans="1:32">
      <c r="A101" s="131" t="s">
        <v>425</v>
      </c>
      <c r="B101" s="131">
        <v>1151.4000000000001</v>
      </c>
      <c r="C101" s="131">
        <v>0</v>
      </c>
      <c r="D101" s="131">
        <v>379.2</v>
      </c>
      <c r="E101" s="131"/>
      <c r="F101" s="131">
        <v>47.6</v>
      </c>
      <c r="G101" s="131"/>
      <c r="H101" s="131">
        <v>413</v>
      </c>
      <c r="I101" s="131"/>
      <c r="J101" s="131">
        <v>46</v>
      </c>
      <c r="K101" s="131"/>
      <c r="L101" s="131">
        <v>60.5</v>
      </c>
      <c r="M101" s="131" t="s">
        <v>1</v>
      </c>
      <c r="N101" s="131"/>
      <c r="O101" s="131">
        <v>383</v>
      </c>
      <c r="P101" s="131">
        <v>11</v>
      </c>
      <c r="Q101" s="131">
        <v>75</v>
      </c>
      <c r="R101" s="131">
        <v>469</v>
      </c>
      <c r="S101" s="131"/>
      <c r="T101" s="131">
        <v>0</v>
      </c>
      <c r="U101" s="131">
        <v>0</v>
      </c>
      <c r="V101" s="131">
        <v>0</v>
      </c>
      <c r="W101" s="131">
        <v>0</v>
      </c>
      <c r="X101" s="131">
        <v>1</v>
      </c>
      <c r="Y101" s="132">
        <v>41688</v>
      </c>
      <c r="Z101" s="131"/>
      <c r="AA101" s="131"/>
      <c r="AB101" s="131" t="str">
        <f t="shared" si="31"/>
        <v/>
      </c>
      <c r="AC101" s="131">
        <f t="shared" si="45"/>
        <v>10</v>
      </c>
      <c r="AD101" s="143" t="str">
        <f t="shared" si="46"/>
        <v>A</v>
      </c>
      <c r="AE101" s="145">
        <f t="shared" si="47"/>
        <v>1151.4000000000001</v>
      </c>
      <c r="AF101" s="12" t="b">
        <f t="shared" si="32"/>
        <v>0</v>
      </c>
    </row>
    <row r="102" spans="1:32">
      <c r="A102" s="131" t="s">
        <v>438</v>
      </c>
      <c r="B102" s="131">
        <v>269.5</v>
      </c>
      <c r="C102" s="131">
        <v>0</v>
      </c>
      <c r="D102" s="131">
        <v>112.4</v>
      </c>
      <c r="E102" s="131"/>
      <c r="F102" s="131">
        <v>48.1</v>
      </c>
      <c r="G102" s="131"/>
      <c r="H102" s="131">
        <v>125</v>
      </c>
      <c r="I102" s="131"/>
      <c r="J102" s="131">
        <v>2</v>
      </c>
      <c r="K102" s="131"/>
      <c r="L102" s="131">
        <v>0</v>
      </c>
      <c r="M102" s="131" t="s">
        <v>1</v>
      </c>
      <c r="N102" s="131"/>
      <c r="O102" s="131">
        <v>39</v>
      </c>
      <c r="P102" s="131">
        <v>5</v>
      </c>
      <c r="Q102" s="131">
        <v>4</v>
      </c>
      <c r="R102" s="131">
        <v>48</v>
      </c>
      <c r="S102" s="131"/>
      <c r="T102" s="131">
        <v>0</v>
      </c>
      <c r="U102" s="131">
        <v>0</v>
      </c>
      <c r="V102" s="131">
        <v>0</v>
      </c>
      <c r="W102" s="131">
        <v>0</v>
      </c>
      <c r="X102" s="131">
        <v>0</v>
      </c>
      <c r="Y102" s="132">
        <v>41688</v>
      </c>
      <c r="Z102" s="131"/>
      <c r="AA102" s="131"/>
      <c r="AB102" s="131" t="str">
        <f t="shared" si="31"/>
        <v/>
      </c>
      <c r="AC102" s="131">
        <f t="shared" si="45"/>
        <v>10</v>
      </c>
      <c r="AD102" s="143" t="str">
        <f t="shared" si="46"/>
        <v>A</v>
      </c>
      <c r="AE102" s="145">
        <f t="shared" si="47"/>
        <v>269.5</v>
      </c>
      <c r="AF102" s="12" t="b">
        <f t="shared" si="32"/>
        <v>0</v>
      </c>
    </row>
    <row r="103" spans="1:32">
      <c r="A103" s="131" t="s">
        <v>439</v>
      </c>
      <c r="B103" s="131">
        <v>331</v>
      </c>
      <c r="C103" s="131">
        <v>0</v>
      </c>
      <c r="D103" s="131">
        <v>88.7</v>
      </c>
      <c r="E103" s="131"/>
      <c r="F103" s="131">
        <v>189</v>
      </c>
      <c r="G103" s="131"/>
      <c r="H103" s="131">
        <v>137</v>
      </c>
      <c r="I103" s="131"/>
      <c r="J103" s="131">
        <v>24</v>
      </c>
      <c r="K103" s="131"/>
      <c r="L103" s="131">
        <v>0</v>
      </c>
      <c r="M103" s="131" t="s">
        <v>1</v>
      </c>
      <c r="N103" s="131"/>
      <c r="O103" s="131">
        <v>38.5</v>
      </c>
      <c r="P103" s="131">
        <v>0</v>
      </c>
      <c r="Q103" s="131">
        <v>25.5</v>
      </c>
      <c r="R103" s="131">
        <v>64</v>
      </c>
      <c r="S103" s="131"/>
      <c r="T103" s="131">
        <v>0</v>
      </c>
      <c r="U103" s="131">
        <v>0</v>
      </c>
      <c r="V103" s="131">
        <v>0</v>
      </c>
      <c r="W103" s="131">
        <v>0</v>
      </c>
      <c r="X103" s="131">
        <v>0</v>
      </c>
      <c r="Y103" s="132">
        <v>41688</v>
      </c>
      <c r="Z103" s="131"/>
      <c r="AA103" s="131"/>
      <c r="AB103" s="131" t="str">
        <f t="shared" si="31"/>
        <v/>
      </c>
      <c r="AC103" s="131">
        <f t="shared" si="45"/>
        <v>10</v>
      </c>
      <c r="AD103" s="143" t="str">
        <f t="shared" si="46"/>
        <v>A</v>
      </c>
      <c r="AE103" s="145">
        <f t="shared" si="47"/>
        <v>331</v>
      </c>
      <c r="AF103" s="12" t="b">
        <f t="shared" si="32"/>
        <v>0</v>
      </c>
    </row>
    <row r="104" spans="1:32">
      <c r="A104" s="131" t="s">
        <v>458</v>
      </c>
      <c r="B104" s="131">
        <v>233.4</v>
      </c>
      <c r="C104" s="131">
        <v>1.5</v>
      </c>
      <c r="D104" s="131">
        <v>57</v>
      </c>
      <c r="E104" s="131"/>
      <c r="F104" s="131">
        <v>270.2</v>
      </c>
      <c r="G104" s="131"/>
      <c r="H104" s="131">
        <v>64</v>
      </c>
      <c r="I104" s="131"/>
      <c r="J104" s="131">
        <v>15</v>
      </c>
      <c r="K104" s="131"/>
      <c r="L104" s="131">
        <v>0</v>
      </c>
      <c r="M104" s="131" t="s">
        <v>1</v>
      </c>
      <c r="N104" s="131"/>
      <c r="O104" s="131">
        <v>68</v>
      </c>
      <c r="P104" s="131">
        <v>11</v>
      </c>
      <c r="Q104" s="131">
        <v>44</v>
      </c>
      <c r="R104" s="131">
        <v>123</v>
      </c>
      <c r="S104" s="131"/>
      <c r="T104" s="131">
        <v>0</v>
      </c>
      <c r="U104" s="131">
        <v>0</v>
      </c>
      <c r="V104" s="131">
        <v>0</v>
      </c>
      <c r="W104" s="131">
        <v>0</v>
      </c>
      <c r="X104" s="131">
        <v>0</v>
      </c>
      <c r="Y104" s="132">
        <v>41688</v>
      </c>
      <c r="Z104" s="131"/>
      <c r="AA104" s="131"/>
      <c r="AB104" s="131" t="str">
        <f t="shared" si="31"/>
        <v/>
      </c>
      <c r="AC104" s="131">
        <f t="shared" si="45"/>
        <v>10</v>
      </c>
      <c r="AD104" s="143" t="str">
        <f t="shared" si="46"/>
        <v>A</v>
      </c>
      <c r="AE104" s="145">
        <f t="shared" si="47"/>
        <v>233.4</v>
      </c>
      <c r="AF104" s="12" t="b">
        <f t="shared" si="32"/>
        <v>0</v>
      </c>
    </row>
    <row r="105" spans="1:32">
      <c r="A105" s="131" t="s">
        <v>473</v>
      </c>
      <c r="B105" s="131">
        <v>240</v>
      </c>
      <c r="C105" s="131">
        <v>2</v>
      </c>
      <c r="D105" s="131">
        <v>15.3</v>
      </c>
      <c r="E105" s="131"/>
      <c r="F105" s="131">
        <v>0</v>
      </c>
      <c r="G105" s="131"/>
      <c r="H105" s="131">
        <v>98</v>
      </c>
      <c r="I105" s="131"/>
      <c r="J105" s="131">
        <v>25</v>
      </c>
      <c r="K105" s="131"/>
      <c r="L105" s="131">
        <v>0</v>
      </c>
      <c r="M105" s="131" t="s">
        <v>1</v>
      </c>
      <c r="N105" s="131"/>
      <c r="O105" s="131">
        <v>80</v>
      </c>
      <c r="P105" s="131">
        <v>100</v>
      </c>
      <c r="Q105" s="131">
        <v>6</v>
      </c>
      <c r="R105" s="131">
        <v>186</v>
      </c>
      <c r="S105" s="131"/>
      <c r="T105" s="131">
        <v>0</v>
      </c>
      <c r="U105" s="131">
        <v>0</v>
      </c>
      <c r="V105" s="131">
        <v>0</v>
      </c>
      <c r="W105" s="131">
        <v>0</v>
      </c>
      <c r="X105" s="131">
        <v>0</v>
      </c>
      <c r="Y105" s="132">
        <v>41688</v>
      </c>
      <c r="Z105" s="131"/>
      <c r="AA105" s="131"/>
      <c r="AB105" s="131" t="str">
        <f t="shared" si="31"/>
        <v/>
      </c>
      <c r="AC105" s="131">
        <f t="shared" si="45"/>
        <v>10</v>
      </c>
      <c r="AD105" s="143" t="str">
        <f t="shared" si="46"/>
        <v>A</v>
      </c>
      <c r="AE105" s="145">
        <f t="shared" si="47"/>
        <v>240</v>
      </c>
      <c r="AF105" s="12" t="b">
        <f t="shared" si="32"/>
        <v>0</v>
      </c>
    </row>
    <row r="106" spans="1:32">
      <c r="A106" s="131" t="s">
        <v>516</v>
      </c>
      <c r="B106" s="131">
        <v>777.5</v>
      </c>
      <c r="C106" s="131">
        <v>9.5</v>
      </c>
      <c r="D106" s="131">
        <v>155.80000000000001</v>
      </c>
      <c r="E106" s="131"/>
      <c r="F106" s="131">
        <v>5.7</v>
      </c>
      <c r="G106" s="131"/>
      <c r="H106" s="131">
        <v>322</v>
      </c>
      <c r="I106" s="131"/>
      <c r="J106" s="131">
        <v>48</v>
      </c>
      <c r="K106" s="131"/>
      <c r="L106" s="131">
        <v>0</v>
      </c>
      <c r="M106" s="131" t="s">
        <v>1</v>
      </c>
      <c r="N106" s="131"/>
      <c r="O106" s="131">
        <v>330</v>
      </c>
      <c r="P106" s="131">
        <v>33</v>
      </c>
      <c r="Q106" s="131">
        <v>36</v>
      </c>
      <c r="R106" s="131">
        <v>399</v>
      </c>
      <c r="S106" s="131"/>
      <c r="T106" s="131">
        <v>12</v>
      </c>
      <c r="U106" s="131">
        <v>0</v>
      </c>
      <c r="V106" s="131">
        <v>0</v>
      </c>
      <c r="W106" s="131">
        <v>0</v>
      </c>
      <c r="X106" s="131">
        <v>0</v>
      </c>
      <c r="Y106" s="132">
        <v>41688</v>
      </c>
      <c r="Z106" s="131"/>
      <c r="AA106" s="131"/>
      <c r="AB106" s="131" t="str">
        <f t="shared" si="31"/>
        <v/>
      </c>
      <c r="AC106" s="131">
        <f t="shared" si="45"/>
        <v>10</v>
      </c>
      <c r="AD106" s="143" t="str">
        <f t="shared" si="46"/>
        <v>A</v>
      </c>
      <c r="AE106" s="145">
        <f t="shared" si="47"/>
        <v>765.5</v>
      </c>
      <c r="AF106" s="12" t="b">
        <f t="shared" si="32"/>
        <v>0</v>
      </c>
    </row>
    <row r="107" spans="1:32">
      <c r="A107" s="131" t="s">
        <v>539</v>
      </c>
      <c r="B107" s="131">
        <v>340</v>
      </c>
      <c r="C107" s="131">
        <v>0</v>
      </c>
      <c r="D107" s="131">
        <v>92.6</v>
      </c>
      <c r="E107" s="131"/>
      <c r="F107" s="131">
        <v>0</v>
      </c>
      <c r="G107" s="131"/>
      <c r="H107" s="131">
        <v>140</v>
      </c>
      <c r="I107" s="131"/>
      <c r="J107" s="131">
        <v>37</v>
      </c>
      <c r="K107" s="131"/>
      <c r="L107" s="131">
        <v>0</v>
      </c>
      <c r="M107" s="131" t="s">
        <v>1</v>
      </c>
      <c r="N107" s="131"/>
      <c r="O107" s="131">
        <v>106</v>
      </c>
      <c r="P107" s="131">
        <v>33</v>
      </c>
      <c r="Q107" s="131">
        <v>1</v>
      </c>
      <c r="R107" s="131">
        <v>140</v>
      </c>
      <c r="S107" s="131"/>
      <c r="T107" s="131">
        <v>0</v>
      </c>
      <c r="U107" s="131">
        <v>0</v>
      </c>
      <c r="V107" s="131">
        <v>0</v>
      </c>
      <c r="W107" s="131">
        <v>0</v>
      </c>
      <c r="X107" s="131">
        <v>0</v>
      </c>
      <c r="Y107" s="132">
        <v>41688</v>
      </c>
      <c r="Z107" s="131"/>
      <c r="AA107" s="131"/>
      <c r="AB107" s="131" t="str">
        <f t="shared" si="31"/>
        <v/>
      </c>
      <c r="AC107" s="131">
        <f t="shared" si="45"/>
        <v>10</v>
      </c>
      <c r="AD107" s="143" t="str">
        <f t="shared" si="46"/>
        <v>A</v>
      </c>
      <c r="AE107" s="145">
        <f t="shared" si="47"/>
        <v>340</v>
      </c>
      <c r="AF107" s="12" t="b">
        <f t="shared" si="32"/>
        <v>0</v>
      </c>
    </row>
    <row r="108" spans="1:32">
      <c r="A108" s="131" t="s">
        <v>543</v>
      </c>
      <c r="B108" s="131">
        <v>391</v>
      </c>
      <c r="C108" s="131">
        <v>8</v>
      </c>
      <c r="D108" s="131">
        <v>91.3</v>
      </c>
      <c r="E108" s="131"/>
      <c r="F108" s="131">
        <v>727.5</v>
      </c>
      <c r="G108" s="131"/>
      <c r="H108" s="131">
        <v>187</v>
      </c>
      <c r="I108" s="131"/>
      <c r="J108" s="131">
        <v>24</v>
      </c>
      <c r="K108" s="131"/>
      <c r="L108" s="131">
        <v>0</v>
      </c>
      <c r="M108" s="131" t="s">
        <v>1</v>
      </c>
      <c r="N108" s="131"/>
      <c r="O108" s="131">
        <v>79</v>
      </c>
      <c r="P108" s="131">
        <v>14</v>
      </c>
      <c r="Q108" s="131">
        <v>6</v>
      </c>
      <c r="R108" s="131">
        <v>99</v>
      </c>
      <c r="S108" s="131"/>
      <c r="T108" s="131">
        <v>0</v>
      </c>
      <c r="U108" s="131">
        <v>0</v>
      </c>
      <c r="V108" s="131">
        <v>0</v>
      </c>
      <c r="W108" s="131">
        <v>0</v>
      </c>
      <c r="X108" s="131">
        <v>0</v>
      </c>
      <c r="Y108" s="132">
        <v>41688</v>
      </c>
      <c r="Z108" s="131"/>
      <c r="AA108" s="131"/>
      <c r="AB108" s="131" t="str">
        <f t="shared" si="31"/>
        <v/>
      </c>
      <c r="AC108" s="131">
        <f t="shared" si="45"/>
        <v>10</v>
      </c>
      <c r="AD108" s="143" t="str">
        <f t="shared" si="46"/>
        <v>A</v>
      </c>
      <c r="AE108" s="145">
        <f t="shared" si="47"/>
        <v>391</v>
      </c>
      <c r="AF108" s="12" t="b">
        <f t="shared" si="32"/>
        <v>0</v>
      </c>
    </row>
    <row r="109" spans="1:32">
      <c r="A109" s="131" t="s">
        <v>305</v>
      </c>
      <c r="B109" s="131">
        <v>226</v>
      </c>
      <c r="C109" s="131">
        <v>1.5</v>
      </c>
      <c r="D109" s="131">
        <v>58.8</v>
      </c>
      <c r="E109" s="131"/>
      <c r="F109" s="131">
        <v>0</v>
      </c>
      <c r="G109" s="131"/>
      <c r="H109" s="131">
        <v>94</v>
      </c>
      <c r="I109" s="131"/>
      <c r="J109" s="131">
        <v>27</v>
      </c>
      <c r="K109" s="131"/>
      <c r="L109" s="131">
        <v>0</v>
      </c>
      <c r="M109" s="131" t="s">
        <v>1</v>
      </c>
      <c r="N109" s="131"/>
      <c r="O109" s="131">
        <v>148</v>
      </c>
      <c r="P109" s="131">
        <v>0</v>
      </c>
      <c r="Q109" s="131">
        <v>6.5</v>
      </c>
      <c r="R109" s="131">
        <v>154.5</v>
      </c>
      <c r="S109" s="131"/>
      <c r="T109" s="131">
        <v>0</v>
      </c>
      <c r="U109" s="131">
        <v>0</v>
      </c>
      <c r="V109" s="131">
        <v>0</v>
      </c>
      <c r="W109" s="131">
        <v>0</v>
      </c>
      <c r="X109" s="131">
        <v>0</v>
      </c>
      <c r="Y109" s="132">
        <v>41696</v>
      </c>
      <c r="Z109" s="131"/>
      <c r="AA109" s="131"/>
      <c r="AB109" s="131" t="str">
        <f t="shared" si="31"/>
        <v/>
      </c>
      <c r="AC109" s="131">
        <f t="shared" si="45"/>
        <v>11</v>
      </c>
      <c r="AD109" s="143" t="str">
        <f t="shared" si="46"/>
        <v>A</v>
      </c>
      <c r="AE109" s="145">
        <f t="shared" si="47"/>
        <v>226</v>
      </c>
      <c r="AF109" s="12" t="b">
        <f t="shared" si="32"/>
        <v>0</v>
      </c>
    </row>
    <row r="110" spans="1:32">
      <c r="A110" s="131" t="s">
        <v>340</v>
      </c>
      <c r="B110" s="131">
        <v>1816.2</v>
      </c>
      <c r="C110" s="131">
        <v>18</v>
      </c>
      <c r="D110" s="131">
        <v>283.5</v>
      </c>
      <c r="E110" s="131"/>
      <c r="F110" s="131">
        <v>24.2</v>
      </c>
      <c r="G110" s="131"/>
      <c r="H110" s="131">
        <v>1045</v>
      </c>
      <c r="I110" s="131"/>
      <c r="J110" s="131">
        <v>129</v>
      </c>
      <c r="K110" s="131"/>
      <c r="L110" s="131">
        <v>0</v>
      </c>
      <c r="M110" s="131" t="s">
        <v>1</v>
      </c>
      <c r="N110" s="131"/>
      <c r="O110" s="131">
        <v>574</v>
      </c>
      <c r="P110" s="131">
        <v>975</v>
      </c>
      <c r="Q110" s="131">
        <v>6</v>
      </c>
      <c r="R110" s="131">
        <v>1555</v>
      </c>
      <c r="S110" s="131"/>
      <c r="T110" s="131">
        <v>0</v>
      </c>
      <c r="U110" s="131">
        <v>0</v>
      </c>
      <c r="V110" s="131">
        <v>0</v>
      </c>
      <c r="W110" s="131">
        <v>0</v>
      </c>
      <c r="X110" s="131">
        <v>0</v>
      </c>
      <c r="Y110" s="132">
        <v>41696</v>
      </c>
      <c r="Z110" s="131"/>
      <c r="AA110" s="131"/>
      <c r="AB110" s="131" t="str">
        <f t="shared" si="31"/>
        <v/>
      </c>
      <c r="AC110" s="131">
        <f t="shared" si="45"/>
        <v>11</v>
      </c>
      <c r="AD110" s="143" t="str">
        <f t="shared" si="46"/>
        <v>A</v>
      </c>
      <c r="AE110" s="145">
        <f t="shared" si="47"/>
        <v>1816.2</v>
      </c>
      <c r="AF110" s="12" t="b">
        <f t="shared" si="32"/>
        <v>0</v>
      </c>
    </row>
    <row r="111" spans="1:32">
      <c r="A111" s="131" t="s">
        <v>347</v>
      </c>
      <c r="B111" s="131">
        <v>492.7</v>
      </c>
      <c r="C111" s="131">
        <v>0</v>
      </c>
      <c r="D111" s="131">
        <v>171.2</v>
      </c>
      <c r="E111" s="131"/>
      <c r="F111" s="131">
        <v>0</v>
      </c>
      <c r="G111" s="131"/>
      <c r="H111" s="131">
        <v>170</v>
      </c>
      <c r="I111" s="131"/>
      <c r="J111" s="131">
        <v>36</v>
      </c>
      <c r="K111" s="131"/>
      <c r="L111" s="131">
        <v>0</v>
      </c>
      <c r="M111" s="131" t="s">
        <v>1</v>
      </c>
      <c r="N111" s="131"/>
      <c r="O111" s="131">
        <v>122</v>
      </c>
      <c r="P111" s="131">
        <v>50</v>
      </c>
      <c r="Q111" s="131">
        <v>57</v>
      </c>
      <c r="R111" s="131">
        <v>229</v>
      </c>
      <c r="S111" s="131"/>
      <c r="T111" s="131">
        <v>1.7</v>
      </c>
      <c r="U111" s="131">
        <v>0</v>
      </c>
      <c r="V111" s="131">
        <v>0</v>
      </c>
      <c r="W111" s="131">
        <v>0</v>
      </c>
      <c r="X111" s="131">
        <v>0</v>
      </c>
      <c r="Y111" s="132">
        <v>41696</v>
      </c>
      <c r="Z111" s="131"/>
      <c r="AA111" s="131"/>
      <c r="AB111" s="131" t="str">
        <f t="shared" si="31"/>
        <v/>
      </c>
      <c r="AC111" s="131">
        <f t="shared" si="45"/>
        <v>11</v>
      </c>
      <c r="AD111" s="143" t="str">
        <f t="shared" si="46"/>
        <v>A</v>
      </c>
      <c r="AE111" s="145">
        <f t="shared" si="47"/>
        <v>491</v>
      </c>
      <c r="AF111" s="12" t="b">
        <f t="shared" si="32"/>
        <v>0</v>
      </c>
    </row>
    <row r="112" spans="1:32">
      <c r="A112" s="131" t="s">
        <v>348</v>
      </c>
      <c r="B112" s="131">
        <v>810.7</v>
      </c>
      <c r="C112" s="131">
        <v>4.5</v>
      </c>
      <c r="D112" s="131">
        <v>239.9</v>
      </c>
      <c r="E112" s="131"/>
      <c r="F112" s="131">
        <v>2.5</v>
      </c>
      <c r="G112" s="131"/>
      <c r="H112" s="131">
        <v>221</v>
      </c>
      <c r="I112" s="131"/>
      <c r="J112" s="131">
        <v>44</v>
      </c>
      <c r="K112" s="131"/>
      <c r="L112" s="131">
        <v>0</v>
      </c>
      <c r="M112" s="131" t="s">
        <v>1</v>
      </c>
      <c r="N112" s="131"/>
      <c r="O112" s="131">
        <v>230</v>
      </c>
      <c r="P112" s="131">
        <v>513</v>
      </c>
      <c r="Q112" s="131">
        <v>88</v>
      </c>
      <c r="R112" s="131">
        <v>831</v>
      </c>
      <c r="S112" s="131"/>
      <c r="T112" s="131">
        <v>0</v>
      </c>
      <c r="U112" s="131">
        <v>0</v>
      </c>
      <c r="V112" s="131">
        <v>0</v>
      </c>
      <c r="W112" s="131">
        <v>0</v>
      </c>
      <c r="X112" s="131">
        <v>0</v>
      </c>
      <c r="Y112" s="132">
        <v>41696</v>
      </c>
      <c r="Z112" s="131"/>
      <c r="AA112" s="131"/>
      <c r="AB112" s="131" t="str">
        <f t="shared" si="31"/>
        <v/>
      </c>
      <c r="AC112" s="131">
        <f t="shared" si="45"/>
        <v>11</v>
      </c>
      <c r="AD112" s="143" t="str">
        <f t="shared" si="46"/>
        <v>A</v>
      </c>
      <c r="AE112" s="145">
        <f t="shared" si="47"/>
        <v>810.7</v>
      </c>
      <c r="AF112" s="12" t="b">
        <f t="shared" si="32"/>
        <v>0</v>
      </c>
    </row>
    <row r="113" spans="1:32">
      <c r="A113" s="131" t="s">
        <v>349</v>
      </c>
      <c r="B113" s="131">
        <v>198</v>
      </c>
      <c r="C113" s="131">
        <v>0</v>
      </c>
      <c r="D113" s="131">
        <v>18.399999999999999</v>
      </c>
      <c r="E113" s="131"/>
      <c r="F113" s="131">
        <v>0</v>
      </c>
      <c r="G113" s="131"/>
      <c r="H113" s="131">
        <v>73</v>
      </c>
      <c r="I113" s="131"/>
      <c r="J113" s="131">
        <v>18</v>
      </c>
      <c r="K113" s="131"/>
      <c r="L113" s="131">
        <v>0</v>
      </c>
      <c r="M113" s="131" t="s">
        <v>1</v>
      </c>
      <c r="N113" s="131"/>
      <c r="O113" s="131">
        <v>105</v>
      </c>
      <c r="P113" s="131">
        <v>11</v>
      </c>
      <c r="Q113" s="131">
        <v>9</v>
      </c>
      <c r="R113" s="131">
        <v>125</v>
      </c>
      <c r="S113" s="131"/>
      <c r="T113" s="131">
        <v>0</v>
      </c>
      <c r="U113" s="131">
        <v>0</v>
      </c>
      <c r="V113" s="131">
        <v>0</v>
      </c>
      <c r="W113" s="131">
        <v>0</v>
      </c>
      <c r="X113" s="131">
        <v>0</v>
      </c>
      <c r="Y113" s="132">
        <v>41696</v>
      </c>
      <c r="Z113" s="131"/>
      <c r="AA113" s="131"/>
      <c r="AB113" s="131" t="str">
        <f t="shared" si="31"/>
        <v/>
      </c>
      <c r="AC113" s="131">
        <f t="shared" si="45"/>
        <v>11</v>
      </c>
      <c r="AD113" s="143" t="str">
        <f t="shared" si="46"/>
        <v>A</v>
      </c>
      <c r="AE113" s="145">
        <f t="shared" si="47"/>
        <v>198</v>
      </c>
      <c r="AF113" s="12" t="b">
        <f t="shared" si="32"/>
        <v>0</v>
      </c>
    </row>
    <row r="114" spans="1:32">
      <c r="A114" s="131" t="s">
        <v>418</v>
      </c>
      <c r="B114" s="131">
        <v>471.5</v>
      </c>
      <c r="C114" s="131">
        <v>0</v>
      </c>
      <c r="D114" s="131">
        <v>210.5</v>
      </c>
      <c r="E114" s="131"/>
      <c r="F114" s="131">
        <v>0</v>
      </c>
      <c r="G114" s="131"/>
      <c r="H114" s="131">
        <v>125</v>
      </c>
      <c r="I114" s="131"/>
      <c r="J114" s="131">
        <v>24</v>
      </c>
      <c r="K114" s="131"/>
      <c r="L114" s="131">
        <v>0</v>
      </c>
      <c r="M114" s="131" t="s">
        <v>1</v>
      </c>
      <c r="N114" s="131"/>
      <c r="O114" s="131">
        <v>296</v>
      </c>
      <c r="P114" s="131">
        <v>48</v>
      </c>
      <c r="Q114" s="131">
        <v>9</v>
      </c>
      <c r="R114" s="131">
        <v>353</v>
      </c>
      <c r="S114" s="131"/>
      <c r="T114" s="131">
        <v>0</v>
      </c>
      <c r="U114" s="131">
        <v>0</v>
      </c>
      <c r="V114" s="131">
        <v>0</v>
      </c>
      <c r="W114" s="131">
        <v>0</v>
      </c>
      <c r="X114" s="131">
        <v>1</v>
      </c>
      <c r="Y114" s="132">
        <v>41696</v>
      </c>
      <c r="Z114" s="131"/>
      <c r="AA114" s="131"/>
      <c r="AB114" s="131" t="str">
        <f t="shared" si="31"/>
        <v/>
      </c>
      <c r="AC114" s="131">
        <f t="shared" si="45"/>
        <v>11</v>
      </c>
      <c r="AD114" s="143" t="str">
        <f t="shared" si="46"/>
        <v>A</v>
      </c>
      <c r="AE114" s="145">
        <f t="shared" si="47"/>
        <v>471.5</v>
      </c>
      <c r="AF114" s="12" t="b">
        <f t="shared" si="32"/>
        <v>0</v>
      </c>
    </row>
    <row r="115" spans="1:32">
      <c r="A115" s="131" t="s">
        <v>430</v>
      </c>
      <c r="B115" s="131">
        <v>518.5</v>
      </c>
      <c r="C115" s="131">
        <v>11.5</v>
      </c>
      <c r="D115" s="131">
        <v>61.5</v>
      </c>
      <c r="E115" s="131"/>
      <c r="F115" s="131">
        <v>0</v>
      </c>
      <c r="G115" s="131"/>
      <c r="H115" s="131">
        <v>277</v>
      </c>
      <c r="I115" s="131"/>
      <c r="J115" s="131">
        <v>43</v>
      </c>
      <c r="K115" s="131"/>
      <c r="L115" s="131">
        <v>0</v>
      </c>
      <c r="M115" s="131" t="s">
        <v>1</v>
      </c>
      <c r="N115" s="131"/>
      <c r="O115" s="131">
        <v>311</v>
      </c>
      <c r="P115" s="131">
        <v>35</v>
      </c>
      <c r="Q115" s="131">
        <v>12</v>
      </c>
      <c r="R115" s="131">
        <v>358</v>
      </c>
      <c r="S115" s="131"/>
      <c r="T115" s="131">
        <v>1</v>
      </c>
      <c r="U115" s="131">
        <v>0</v>
      </c>
      <c r="V115" s="131">
        <v>0</v>
      </c>
      <c r="W115" s="131">
        <v>0</v>
      </c>
      <c r="X115" s="131">
        <v>0</v>
      </c>
      <c r="Y115" s="132">
        <v>41696</v>
      </c>
      <c r="Z115" s="131"/>
      <c r="AA115" s="131"/>
      <c r="AB115" s="131" t="str">
        <f t="shared" si="31"/>
        <v/>
      </c>
      <c r="AC115" s="131">
        <f t="shared" si="45"/>
        <v>11</v>
      </c>
      <c r="AD115" s="143" t="str">
        <f t="shared" si="46"/>
        <v>A</v>
      </c>
      <c r="AE115" s="145">
        <f t="shared" si="47"/>
        <v>517.5</v>
      </c>
      <c r="AF115" s="12" t="b">
        <f t="shared" si="32"/>
        <v>0</v>
      </c>
    </row>
    <row r="116" spans="1:32">
      <c r="A116" s="131" t="s">
        <v>432</v>
      </c>
      <c r="B116" s="131">
        <v>804</v>
      </c>
      <c r="C116" s="131">
        <v>6.5</v>
      </c>
      <c r="D116" s="131">
        <v>172.4</v>
      </c>
      <c r="E116" s="131"/>
      <c r="F116" s="131">
        <v>7</v>
      </c>
      <c r="G116" s="131"/>
      <c r="H116" s="131">
        <v>239</v>
      </c>
      <c r="I116" s="131"/>
      <c r="J116" s="131">
        <v>92</v>
      </c>
      <c r="K116" s="131"/>
      <c r="L116" s="131">
        <v>0</v>
      </c>
      <c r="M116" s="131" t="s">
        <v>1</v>
      </c>
      <c r="N116" s="131"/>
      <c r="O116" s="131">
        <v>536</v>
      </c>
      <c r="P116" s="131">
        <v>154.5</v>
      </c>
      <c r="Q116" s="131">
        <v>132.5</v>
      </c>
      <c r="R116" s="131">
        <v>823</v>
      </c>
      <c r="S116" s="131"/>
      <c r="T116" s="131">
        <v>0</v>
      </c>
      <c r="U116" s="131">
        <v>0</v>
      </c>
      <c r="V116" s="131">
        <v>0</v>
      </c>
      <c r="W116" s="131">
        <v>0</v>
      </c>
      <c r="X116" s="131">
        <v>0</v>
      </c>
      <c r="Y116" s="132">
        <v>41696</v>
      </c>
      <c r="Z116" s="131"/>
      <c r="AA116" s="131"/>
      <c r="AB116" s="131" t="str">
        <f t="shared" si="31"/>
        <v/>
      </c>
      <c r="AC116" s="131">
        <f t="shared" si="45"/>
        <v>11</v>
      </c>
      <c r="AD116" s="143" t="str">
        <f t="shared" si="46"/>
        <v>A</v>
      </c>
      <c r="AE116" s="145">
        <f t="shared" si="47"/>
        <v>804</v>
      </c>
      <c r="AF116" s="12" t="b">
        <f t="shared" si="32"/>
        <v>0</v>
      </c>
    </row>
    <row r="117" spans="1:32">
      <c r="A117" s="131" t="s">
        <v>441</v>
      </c>
      <c r="B117" s="131">
        <v>1032.3</v>
      </c>
      <c r="C117" s="131">
        <v>0</v>
      </c>
      <c r="D117" s="131">
        <v>201.4</v>
      </c>
      <c r="E117" s="131"/>
      <c r="F117" s="131">
        <v>344.6</v>
      </c>
      <c r="G117" s="131"/>
      <c r="H117" s="131">
        <v>443</v>
      </c>
      <c r="I117" s="131"/>
      <c r="J117" s="131">
        <v>56</v>
      </c>
      <c r="K117" s="131"/>
      <c r="L117" s="131">
        <v>0</v>
      </c>
      <c r="M117" s="131" t="s">
        <v>1</v>
      </c>
      <c r="N117" s="131"/>
      <c r="O117" s="131">
        <v>160</v>
      </c>
      <c r="P117" s="131">
        <v>41</v>
      </c>
      <c r="Q117" s="131">
        <v>0</v>
      </c>
      <c r="R117" s="131">
        <v>201</v>
      </c>
      <c r="S117" s="131"/>
      <c r="T117" s="131">
        <v>0</v>
      </c>
      <c r="U117" s="131">
        <v>0</v>
      </c>
      <c r="V117" s="131">
        <v>0</v>
      </c>
      <c r="W117" s="131">
        <v>0</v>
      </c>
      <c r="X117" s="131">
        <v>1</v>
      </c>
      <c r="Y117" s="132">
        <v>41696</v>
      </c>
      <c r="Z117" s="131"/>
      <c r="AA117" s="131"/>
      <c r="AB117" s="131" t="str">
        <f t="shared" si="31"/>
        <v/>
      </c>
      <c r="AC117" s="131">
        <f t="shared" si="45"/>
        <v>11</v>
      </c>
      <c r="AD117" s="143" t="str">
        <f t="shared" si="46"/>
        <v>A</v>
      </c>
      <c r="AE117" s="145">
        <f t="shared" si="47"/>
        <v>1032.3</v>
      </c>
      <c r="AF117" s="12" t="b">
        <f t="shared" si="32"/>
        <v>0</v>
      </c>
    </row>
    <row r="118" spans="1:32">
      <c r="A118" s="131" t="s">
        <v>450</v>
      </c>
      <c r="B118" s="131">
        <v>910.3</v>
      </c>
      <c r="C118" s="131">
        <v>0</v>
      </c>
      <c r="D118" s="131">
        <v>228.2</v>
      </c>
      <c r="E118" s="131"/>
      <c r="F118" s="131">
        <v>3.6</v>
      </c>
      <c r="G118" s="131"/>
      <c r="H118" s="131">
        <v>385</v>
      </c>
      <c r="I118" s="131"/>
      <c r="J118" s="131">
        <v>42</v>
      </c>
      <c r="K118" s="131"/>
      <c r="L118" s="131">
        <v>0</v>
      </c>
      <c r="M118" s="131" t="s">
        <v>1</v>
      </c>
      <c r="N118" s="131"/>
      <c r="O118" s="131">
        <v>656.5</v>
      </c>
      <c r="P118" s="131">
        <v>36.5</v>
      </c>
      <c r="Q118" s="131">
        <v>18</v>
      </c>
      <c r="R118" s="131">
        <v>711</v>
      </c>
      <c r="S118" s="131"/>
      <c r="T118" s="131">
        <v>1</v>
      </c>
      <c r="U118" s="131">
        <v>1</v>
      </c>
      <c r="V118" s="131">
        <v>0</v>
      </c>
      <c r="W118" s="131">
        <v>0</v>
      </c>
      <c r="X118" s="131">
        <v>0</v>
      </c>
      <c r="Y118" s="132">
        <v>41696</v>
      </c>
      <c r="Z118" s="131"/>
      <c r="AA118" s="131"/>
      <c r="AB118" s="131" t="str">
        <f t="shared" si="31"/>
        <v/>
      </c>
      <c r="AC118" s="131">
        <f t="shared" si="45"/>
        <v>11</v>
      </c>
      <c r="AD118" s="143" t="str">
        <f t="shared" si="46"/>
        <v>A</v>
      </c>
      <c r="AE118" s="145">
        <f t="shared" si="47"/>
        <v>909.3</v>
      </c>
      <c r="AF118" s="12" t="b">
        <f t="shared" si="32"/>
        <v>0</v>
      </c>
    </row>
    <row r="119" spans="1:32">
      <c r="A119" s="131" t="s">
        <v>455</v>
      </c>
      <c r="B119" s="131">
        <v>1131</v>
      </c>
      <c r="C119" s="131">
        <v>12</v>
      </c>
      <c r="D119" s="131">
        <v>272.10000000000002</v>
      </c>
      <c r="E119" s="131"/>
      <c r="F119" s="131">
        <v>0</v>
      </c>
      <c r="G119" s="131"/>
      <c r="H119" s="131">
        <v>671</v>
      </c>
      <c r="I119" s="131"/>
      <c r="J119" s="131">
        <v>52</v>
      </c>
      <c r="K119" s="131"/>
      <c r="L119" s="131">
        <v>0</v>
      </c>
      <c r="M119" s="131" t="s">
        <v>1</v>
      </c>
      <c r="N119" s="131"/>
      <c r="O119" s="131">
        <v>222</v>
      </c>
      <c r="P119" s="131">
        <v>4</v>
      </c>
      <c r="Q119" s="131">
        <v>1</v>
      </c>
      <c r="R119" s="131">
        <v>227</v>
      </c>
      <c r="S119" s="131"/>
      <c r="T119" s="131">
        <v>0</v>
      </c>
      <c r="U119" s="131">
        <v>0</v>
      </c>
      <c r="V119" s="131">
        <v>0</v>
      </c>
      <c r="W119" s="131">
        <v>0</v>
      </c>
      <c r="X119" s="131">
        <v>0</v>
      </c>
      <c r="Y119" s="132">
        <v>41696</v>
      </c>
      <c r="Z119" s="131"/>
      <c r="AA119" s="131"/>
      <c r="AB119" s="131" t="str">
        <f t="shared" si="31"/>
        <v/>
      </c>
      <c r="AC119" s="131">
        <f t="shared" si="45"/>
        <v>11</v>
      </c>
      <c r="AD119" s="143" t="str">
        <f t="shared" si="46"/>
        <v>A</v>
      </c>
      <c r="AE119" s="145">
        <f t="shared" si="47"/>
        <v>1131</v>
      </c>
      <c r="AF119" s="12" t="b">
        <f t="shared" si="32"/>
        <v>0</v>
      </c>
    </row>
    <row r="120" spans="1:32">
      <c r="A120" s="131" t="s">
        <v>463</v>
      </c>
      <c r="B120" s="131">
        <v>495.4</v>
      </c>
      <c r="C120" s="131">
        <v>4.5</v>
      </c>
      <c r="D120" s="131">
        <v>131.4</v>
      </c>
      <c r="E120" s="131"/>
      <c r="F120" s="131">
        <v>6.7</v>
      </c>
      <c r="G120" s="131"/>
      <c r="H120" s="131">
        <v>159</v>
      </c>
      <c r="I120" s="131"/>
      <c r="J120" s="131">
        <v>46</v>
      </c>
      <c r="K120" s="131"/>
      <c r="L120" s="131">
        <v>26.1</v>
      </c>
      <c r="M120" s="131" t="s">
        <v>1</v>
      </c>
      <c r="N120" s="131"/>
      <c r="O120" s="131">
        <v>118.5</v>
      </c>
      <c r="P120" s="131">
        <v>64</v>
      </c>
      <c r="Q120" s="131">
        <v>52</v>
      </c>
      <c r="R120" s="131">
        <v>234.5</v>
      </c>
      <c r="S120" s="131"/>
      <c r="T120" s="131">
        <v>0</v>
      </c>
      <c r="U120" s="131">
        <v>0</v>
      </c>
      <c r="V120" s="131">
        <v>0</v>
      </c>
      <c r="W120" s="131">
        <v>0</v>
      </c>
      <c r="X120" s="131">
        <v>0</v>
      </c>
      <c r="Y120" s="132">
        <v>41696</v>
      </c>
      <c r="Z120" s="131"/>
      <c r="AA120" s="131"/>
      <c r="AB120" s="131" t="str">
        <f t="shared" si="31"/>
        <v/>
      </c>
      <c r="AC120" s="131">
        <f t="shared" si="45"/>
        <v>11</v>
      </c>
      <c r="AD120" s="143" t="str">
        <f t="shared" si="46"/>
        <v>A</v>
      </c>
      <c r="AE120" s="145">
        <f t="shared" si="47"/>
        <v>495.4</v>
      </c>
      <c r="AF120" s="12" t="b">
        <f t="shared" si="32"/>
        <v>0</v>
      </c>
    </row>
    <row r="121" spans="1:32">
      <c r="A121" s="131" t="s">
        <v>465</v>
      </c>
      <c r="B121" s="131">
        <v>685.8</v>
      </c>
      <c r="C121" s="131">
        <v>0</v>
      </c>
      <c r="D121" s="131">
        <v>147.19999999999999</v>
      </c>
      <c r="E121" s="131"/>
      <c r="F121" s="131">
        <v>0</v>
      </c>
      <c r="G121" s="131"/>
      <c r="H121" s="131">
        <v>112</v>
      </c>
      <c r="I121" s="131"/>
      <c r="J121" s="131">
        <v>53</v>
      </c>
      <c r="K121" s="131"/>
      <c r="L121" s="131">
        <v>0</v>
      </c>
      <c r="M121" s="131" t="s">
        <v>1</v>
      </c>
      <c r="N121" s="131"/>
      <c r="O121" s="131">
        <v>438</v>
      </c>
      <c r="P121" s="131">
        <v>19</v>
      </c>
      <c r="Q121" s="131">
        <v>110</v>
      </c>
      <c r="R121" s="131">
        <v>567</v>
      </c>
      <c r="S121" s="131"/>
      <c r="T121" s="131">
        <v>0</v>
      </c>
      <c r="U121" s="131">
        <v>0</v>
      </c>
      <c r="V121" s="131">
        <v>0</v>
      </c>
      <c r="W121" s="131">
        <v>0</v>
      </c>
      <c r="X121" s="131">
        <v>0</v>
      </c>
      <c r="Y121" s="132">
        <v>41696</v>
      </c>
      <c r="Z121" s="131"/>
      <c r="AA121" s="131"/>
      <c r="AB121" s="131" t="str">
        <f t="shared" si="31"/>
        <v/>
      </c>
      <c r="AC121" s="131">
        <f t="shared" si="45"/>
        <v>11</v>
      </c>
      <c r="AD121" s="143" t="str">
        <f t="shared" si="46"/>
        <v>A</v>
      </c>
      <c r="AE121" s="145">
        <f t="shared" si="47"/>
        <v>685.8</v>
      </c>
      <c r="AF121" s="12" t="b">
        <f t="shared" si="32"/>
        <v>0</v>
      </c>
    </row>
    <row r="122" spans="1:32">
      <c r="A122" s="131" t="s">
        <v>482</v>
      </c>
      <c r="B122" s="131">
        <v>684.8</v>
      </c>
      <c r="C122" s="131">
        <v>3.5</v>
      </c>
      <c r="D122" s="131">
        <v>232</v>
      </c>
      <c r="E122" s="131"/>
      <c r="F122" s="131">
        <v>9.5</v>
      </c>
      <c r="G122" s="131"/>
      <c r="H122" s="131">
        <v>207</v>
      </c>
      <c r="I122" s="131"/>
      <c r="J122" s="131">
        <v>98</v>
      </c>
      <c r="K122" s="131"/>
      <c r="L122" s="131">
        <v>0</v>
      </c>
      <c r="M122" s="131" t="s">
        <v>1</v>
      </c>
      <c r="N122" s="131"/>
      <c r="O122" s="131">
        <v>206</v>
      </c>
      <c r="P122" s="131">
        <v>102.5</v>
      </c>
      <c r="Q122" s="131">
        <v>40.5</v>
      </c>
      <c r="R122" s="131">
        <v>349</v>
      </c>
      <c r="S122" s="131"/>
      <c r="T122" s="131">
        <v>20.5</v>
      </c>
      <c r="U122" s="131">
        <v>0</v>
      </c>
      <c r="V122" s="131">
        <v>0</v>
      </c>
      <c r="W122" s="131">
        <v>0</v>
      </c>
      <c r="X122" s="131">
        <v>0</v>
      </c>
      <c r="Y122" s="132">
        <v>41696</v>
      </c>
      <c r="Z122" s="131"/>
      <c r="AA122" s="131"/>
      <c r="AB122" s="131" t="str">
        <f t="shared" si="31"/>
        <v/>
      </c>
      <c r="AC122" s="131">
        <f t="shared" si="45"/>
        <v>11</v>
      </c>
      <c r="AD122" s="143" t="str">
        <f t="shared" si="46"/>
        <v>A</v>
      </c>
      <c r="AE122" s="145">
        <f t="shared" si="47"/>
        <v>664.3</v>
      </c>
      <c r="AF122" s="12" t="b">
        <f t="shared" si="32"/>
        <v>0</v>
      </c>
    </row>
    <row r="123" spans="1:32">
      <c r="A123" s="131" t="s">
        <v>487</v>
      </c>
      <c r="B123" s="131">
        <v>158</v>
      </c>
      <c r="C123" s="131">
        <v>4</v>
      </c>
      <c r="D123" s="131">
        <v>31.4</v>
      </c>
      <c r="E123" s="131"/>
      <c r="F123" s="131">
        <v>2.7</v>
      </c>
      <c r="G123" s="131"/>
      <c r="H123" s="131">
        <v>112</v>
      </c>
      <c r="I123" s="131"/>
      <c r="J123" s="131">
        <v>10</v>
      </c>
      <c r="K123" s="131"/>
      <c r="L123" s="131">
        <v>0</v>
      </c>
      <c r="M123" s="131" t="s">
        <v>1</v>
      </c>
      <c r="N123" s="131"/>
      <c r="O123" s="131">
        <v>37</v>
      </c>
      <c r="P123" s="131">
        <v>9</v>
      </c>
      <c r="Q123" s="131">
        <v>0</v>
      </c>
      <c r="R123" s="131">
        <v>46</v>
      </c>
      <c r="S123" s="131"/>
      <c r="T123" s="131">
        <v>0</v>
      </c>
      <c r="U123" s="131">
        <v>0</v>
      </c>
      <c r="V123" s="131">
        <v>0</v>
      </c>
      <c r="W123" s="131">
        <v>0</v>
      </c>
      <c r="X123" s="131">
        <v>0</v>
      </c>
      <c r="Y123" s="132">
        <v>41696</v>
      </c>
      <c r="Z123" s="131"/>
      <c r="AA123" s="131"/>
      <c r="AB123" s="131" t="str">
        <f t="shared" si="31"/>
        <v/>
      </c>
      <c r="AC123" s="131">
        <f t="shared" si="45"/>
        <v>11</v>
      </c>
      <c r="AD123" s="143" t="str">
        <f t="shared" si="46"/>
        <v>A</v>
      </c>
      <c r="AE123" s="145">
        <f t="shared" si="47"/>
        <v>158</v>
      </c>
      <c r="AF123" s="12" t="b">
        <f t="shared" si="32"/>
        <v>0</v>
      </c>
    </row>
    <row r="124" spans="1:32">
      <c r="A124" s="131" t="s">
        <v>496</v>
      </c>
      <c r="B124" s="131">
        <v>273</v>
      </c>
      <c r="C124" s="131">
        <v>0</v>
      </c>
      <c r="D124" s="131">
        <v>97.6</v>
      </c>
      <c r="E124" s="131"/>
      <c r="F124" s="131">
        <v>0</v>
      </c>
      <c r="G124" s="131"/>
      <c r="H124" s="131">
        <v>66</v>
      </c>
      <c r="I124" s="131"/>
      <c r="J124" s="131">
        <v>23</v>
      </c>
      <c r="K124" s="131"/>
      <c r="L124" s="131">
        <v>0</v>
      </c>
      <c r="M124" s="131" t="s">
        <v>1</v>
      </c>
      <c r="N124" s="131"/>
      <c r="O124" s="131">
        <v>112</v>
      </c>
      <c r="P124" s="131">
        <v>36</v>
      </c>
      <c r="Q124" s="131">
        <v>31</v>
      </c>
      <c r="R124" s="131">
        <v>179</v>
      </c>
      <c r="S124" s="131"/>
      <c r="T124" s="131">
        <v>0</v>
      </c>
      <c r="U124" s="131">
        <v>0</v>
      </c>
      <c r="V124" s="131">
        <v>0</v>
      </c>
      <c r="W124" s="131">
        <v>0</v>
      </c>
      <c r="X124" s="131">
        <v>0</v>
      </c>
      <c r="Y124" s="132">
        <v>41696</v>
      </c>
      <c r="Z124" s="131"/>
      <c r="AA124" s="131"/>
      <c r="AB124" s="131" t="str">
        <f t="shared" si="31"/>
        <v/>
      </c>
      <c r="AC124" s="131">
        <f t="shared" si="45"/>
        <v>11</v>
      </c>
      <c r="AD124" s="143" t="str">
        <f t="shared" si="46"/>
        <v>A</v>
      </c>
      <c r="AE124" s="145">
        <f t="shared" si="47"/>
        <v>273</v>
      </c>
      <c r="AF124" s="12" t="b">
        <f t="shared" si="32"/>
        <v>0</v>
      </c>
    </row>
    <row r="125" spans="1:32">
      <c r="A125" s="131" t="s">
        <v>553</v>
      </c>
      <c r="B125" s="131">
        <v>204.5</v>
      </c>
      <c r="C125" s="131">
        <v>3</v>
      </c>
      <c r="D125" s="131">
        <v>66.2</v>
      </c>
      <c r="E125" s="131"/>
      <c r="F125" s="131">
        <v>0</v>
      </c>
      <c r="G125" s="131"/>
      <c r="H125" s="131">
        <v>91</v>
      </c>
      <c r="I125" s="131"/>
      <c r="J125" s="131">
        <v>17</v>
      </c>
      <c r="K125" s="131"/>
      <c r="L125" s="131">
        <v>0</v>
      </c>
      <c r="M125" s="131" t="s">
        <v>1</v>
      </c>
      <c r="N125" s="131"/>
      <c r="O125" s="131">
        <v>90</v>
      </c>
      <c r="P125" s="131">
        <v>10</v>
      </c>
      <c r="Q125" s="131">
        <v>28</v>
      </c>
      <c r="R125" s="131">
        <v>128</v>
      </c>
      <c r="S125" s="131"/>
      <c r="T125" s="131">
        <v>0</v>
      </c>
      <c r="U125" s="131">
        <v>0</v>
      </c>
      <c r="V125" s="131">
        <v>0</v>
      </c>
      <c r="W125" s="131">
        <v>0</v>
      </c>
      <c r="X125" s="131">
        <v>0</v>
      </c>
      <c r="Y125" s="132">
        <v>41696</v>
      </c>
      <c r="Z125" s="131"/>
      <c r="AA125" s="131"/>
      <c r="AB125" s="131" t="str">
        <f t="shared" ref="AB125:AB182" si="48">IF(AA125&gt;0,C125+AA125, "")</f>
        <v/>
      </c>
      <c r="AC125" s="131">
        <f t="shared" si="45"/>
        <v>11</v>
      </c>
      <c r="AD125" s="143" t="str">
        <f t="shared" si="46"/>
        <v>A</v>
      </c>
      <c r="AE125" s="145">
        <f t="shared" si="47"/>
        <v>204.5</v>
      </c>
      <c r="AF125" s="12" t="b">
        <f t="shared" si="32"/>
        <v>0</v>
      </c>
    </row>
    <row r="126" spans="1:32">
      <c r="A126" s="131" t="s">
        <v>352</v>
      </c>
      <c r="B126" s="131">
        <v>973.5</v>
      </c>
      <c r="C126" s="131">
        <v>7</v>
      </c>
      <c r="D126" s="131">
        <v>260.39999999999998</v>
      </c>
      <c r="E126" s="131"/>
      <c r="F126" s="131">
        <v>23.3</v>
      </c>
      <c r="G126" s="131"/>
      <c r="H126" s="131">
        <v>403</v>
      </c>
      <c r="I126" s="131"/>
      <c r="J126" s="131">
        <v>38</v>
      </c>
      <c r="K126" s="131"/>
      <c r="L126" s="131">
        <v>0</v>
      </c>
      <c r="M126" s="131" t="s">
        <v>1</v>
      </c>
      <c r="N126" s="131"/>
      <c r="O126" s="131">
        <v>325</v>
      </c>
      <c r="P126" s="131">
        <v>182</v>
      </c>
      <c r="Q126" s="131">
        <v>9</v>
      </c>
      <c r="R126" s="131">
        <v>516</v>
      </c>
      <c r="S126" s="131"/>
      <c r="T126" s="131">
        <v>0</v>
      </c>
      <c r="U126" s="131">
        <v>0</v>
      </c>
      <c r="V126" s="131">
        <v>0</v>
      </c>
      <c r="W126" s="131">
        <v>0</v>
      </c>
      <c r="X126" s="131">
        <v>0</v>
      </c>
      <c r="Y126" s="132">
        <v>41702</v>
      </c>
      <c r="Z126" s="131"/>
      <c r="AA126" s="131"/>
      <c r="AB126" s="131" t="str">
        <f t="shared" si="48"/>
        <v/>
      </c>
      <c r="AC126" s="131">
        <f t="shared" si="45"/>
        <v>12</v>
      </c>
      <c r="AD126" s="143" t="str">
        <f t="shared" si="46"/>
        <v>A</v>
      </c>
      <c r="AE126" s="145">
        <f t="shared" si="47"/>
        <v>973.5</v>
      </c>
      <c r="AF126" s="12" t="b">
        <f t="shared" si="32"/>
        <v>0</v>
      </c>
    </row>
    <row r="127" spans="1:32">
      <c r="A127" s="131" t="s">
        <v>388</v>
      </c>
      <c r="B127" s="131">
        <v>768.4</v>
      </c>
      <c r="C127" s="131">
        <v>0</v>
      </c>
      <c r="D127" s="131">
        <v>90</v>
      </c>
      <c r="E127" s="131"/>
      <c r="F127" s="131">
        <v>0</v>
      </c>
      <c r="G127" s="131"/>
      <c r="H127" s="131">
        <v>213</v>
      </c>
      <c r="I127" s="131"/>
      <c r="J127" s="131">
        <v>73</v>
      </c>
      <c r="K127" s="131"/>
      <c r="L127" s="131">
        <v>0</v>
      </c>
      <c r="M127" s="131" t="s">
        <v>1</v>
      </c>
      <c r="N127" s="131"/>
      <c r="O127" s="131">
        <v>254</v>
      </c>
      <c r="P127" s="131">
        <v>117.5</v>
      </c>
      <c r="Q127" s="131">
        <v>25</v>
      </c>
      <c r="R127" s="131">
        <v>396.5</v>
      </c>
      <c r="S127" s="131"/>
      <c r="T127" s="131">
        <v>6</v>
      </c>
      <c r="U127" s="131">
        <v>0</v>
      </c>
      <c r="V127" s="131">
        <v>0</v>
      </c>
      <c r="W127" s="131">
        <v>0</v>
      </c>
      <c r="X127" s="131">
        <v>0</v>
      </c>
      <c r="Y127" s="132">
        <v>41702</v>
      </c>
      <c r="Z127" s="131"/>
      <c r="AA127" s="131"/>
      <c r="AB127" s="131" t="str">
        <f t="shared" si="48"/>
        <v/>
      </c>
      <c r="AC127" s="131">
        <f t="shared" si="45"/>
        <v>12</v>
      </c>
      <c r="AD127" s="143" t="str">
        <f t="shared" si="46"/>
        <v>A</v>
      </c>
      <c r="AE127" s="145">
        <f t="shared" si="47"/>
        <v>762.4</v>
      </c>
      <c r="AF127" s="12" t="b">
        <f t="shared" si="32"/>
        <v>0</v>
      </c>
    </row>
    <row r="128" spans="1:32">
      <c r="A128" s="131" t="s">
        <v>390</v>
      </c>
      <c r="B128" s="131">
        <v>90</v>
      </c>
      <c r="C128" s="131">
        <v>1</v>
      </c>
      <c r="D128" s="131">
        <v>12.7</v>
      </c>
      <c r="E128" s="131"/>
      <c r="F128" s="131">
        <v>0</v>
      </c>
      <c r="G128" s="131"/>
      <c r="H128" s="131">
        <v>34</v>
      </c>
      <c r="I128" s="131"/>
      <c r="J128" s="131">
        <v>8</v>
      </c>
      <c r="K128" s="131"/>
      <c r="L128" s="131">
        <v>0</v>
      </c>
      <c r="M128" s="131" t="s">
        <v>1</v>
      </c>
      <c r="N128" s="131"/>
      <c r="O128" s="131">
        <v>38</v>
      </c>
      <c r="P128" s="131">
        <v>4</v>
      </c>
      <c r="Q128" s="131">
        <v>13</v>
      </c>
      <c r="R128" s="131">
        <v>55</v>
      </c>
      <c r="S128" s="131"/>
      <c r="T128" s="131">
        <v>0</v>
      </c>
      <c r="U128" s="131">
        <v>0</v>
      </c>
      <c r="V128" s="131">
        <v>0</v>
      </c>
      <c r="W128" s="131">
        <v>0</v>
      </c>
      <c r="X128" s="131">
        <v>0</v>
      </c>
      <c r="Y128" s="132">
        <v>41702</v>
      </c>
      <c r="Z128" s="131"/>
      <c r="AA128" s="131"/>
      <c r="AB128" s="131" t="str">
        <f t="shared" si="48"/>
        <v/>
      </c>
      <c r="AC128" s="131">
        <f t="shared" si="45"/>
        <v>12</v>
      </c>
      <c r="AD128" s="143" t="str">
        <f t="shared" si="46"/>
        <v>A</v>
      </c>
      <c r="AE128" s="145">
        <f t="shared" si="47"/>
        <v>90</v>
      </c>
      <c r="AF128" s="12" t="b">
        <f t="shared" si="32"/>
        <v>0</v>
      </c>
    </row>
    <row r="129" spans="1:32">
      <c r="A129" s="131" t="s">
        <v>402</v>
      </c>
      <c r="B129" s="131">
        <v>4864.5</v>
      </c>
      <c r="C129" s="131">
        <v>28</v>
      </c>
      <c r="D129" s="131">
        <v>1159</v>
      </c>
      <c r="E129" s="131"/>
      <c r="F129" s="131">
        <v>782.2</v>
      </c>
      <c r="G129" s="131"/>
      <c r="H129" s="131">
        <v>2856</v>
      </c>
      <c r="I129" s="131"/>
      <c r="J129" s="131">
        <v>390</v>
      </c>
      <c r="K129" s="131"/>
      <c r="L129" s="131">
        <v>0</v>
      </c>
      <c r="M129" s="131" t="s">
        <v>1</v>
      </c>
      <c r="N129" s="131"/>
      <c r="O129" s="131">
        <v>54.5</v>
      </c>
      <c r="P129" s="131">
        <v>376</v>
      </c>
      <c r="Q129" s="131">
        <v>17</v>
      </c>
      <c r="R129" s="131">
        <v>447.5</v>
      </c>
      <c r="S129" s="131"/>
      <c r="T129" s="131">
        <v>12</v>
      </c>
      <c r="U129" s="131">
        <v>0</v>
      </c>
      <c r="V129" s="131">
        <v>0</v>
      </c>
      <c r="W129" s="131">
        <v>0</v>
      </c>
      <c r="X129" s="131">
        <v>0</v>
      </c>
      <c r="Y129" s="132">
        <v>41702</v>
      </c>
      <c r="Z129" s="131"/>
      <c r="AA129" s="131"/>
      <c r="AB129" s="131" t="str">
        <f t="shared" si="48"/>
        <v/>
      </c>
      <c r="AC129" s="131">
        <f t="shared" si="45"/>
        <v>12</v>
      </c>
      <c r="AD129" s="143" t="str">
        <f t="shared" si="46"/>
        <v>A</v>
      </c>
      <c r="AE129" s="145">
        <f t="shared" si="47"/>
        <v>4852.5</v>
      </c>
      <c r="AF129" s="12" t="b">
        <f t="shared" si="32"/>
        <v>0</v>
      </c>
    </row>
    <row r="130" spans="1:32">
      <c r="A130" s="131" t="s">
        <v>413</v>
      </c>
      <c r="B130" s="131">
        <v>304</v>
      </c>
      <c r="C130" s="131">
        <v>0</v>
      </c>
      <c r="D130" s="131">
        <v>108</v>
      </c>
      <c r="E130" s="131"/>
      <c r="F130" s="131">
        <v>0</v>
      </c>
      <c r="G130" s="131"/>
      <c r="H130" s="131">
        <v>95</v>
      </c>
      <c r="I130" s="131"/>
      <c r="J130" s="131">
        <v>29</v>
      </c>
      <c r="K130" s="131"/>
      <c r="L130" s="131">
        <v>0</v>
      </c>
      <c r="M130" s="131" t="s">
        <v>1</v>
      </c>
      <c r="N130" s="131"/>
      <c r="O130" s="131">
        <v>161.5</v>
      </c>
      <c r="P130" s="131">
        <v>30.7</v>
      </c>
      <c r="Q130" s="131">
        <v>5</v>
      </c>
      <c r="R130" s="131">
        <v>197.2</v>
      </c>
      <c r="S130" s="131"/>
      <c r="T130" s="131">
        <v>0</v>
      </c>
      <c r="U130" s="131">
        <v>0</v>
      </c>
      <c r="V130" s="131">
        <v>0</v>
      </c>
      <c r="W130" s="131">
        <v>0</v>
      </c>
      <c r="X130" s="131">
        <v>0</v>
      </c>
      <c r="Y130" s="132">
        <v>41702</v>
      </c>
      <c r="Z130" s="131"/>
      <c r="AA130" s="131"/>
      <c r="AB130" s="131" t="str">
        <f t="shared" si="48"/>
        <v/>
      </c>
      <c r="AC130" s="131">
        <f t="shared" si="45"/>
        <v>12</v>
      </c>
      <c r="AD130" s="143" t="str">
        <f t="shared" si="46"/>
        <v>A</v>
      </c>
      <c r="AE130" s="145">
        <f t="shared" si="47"/>
        <v>304</v>
      </c>
      <c r="AF130" s="12" t="b">
        <f t="shared" ref="AF130:AF193" si="49">COUNTIF(A:A,A130)&gt;1</f>
        <v>0</v>
      </c>
    </row>
    <row r="131" spans="1:32">
      <c r="A131" s="131" t="s">
        <v>423</v>
      </c>
      <c r="B131" s="131">
        <v>235.3</v>
      </c>
      <c r="C131" s="131">
        <v>0</v>
      </c>
      <c r="D131" s="131">
        <v>35.9</v>
      </c>
      <c r="E131" s="131"/>
      <c r="F131" s="131">
        <v>0</v>
      </c>
      <c r="G131" s="131"/>
      <c r="H131" s="131">
        <v>120</v>
      </c>
      <c r="I131" s="131"/>
      <c r="J131" s="131">
        <v>14</v>
      </c>
      <c r="K131" s="131"/>
      <c r="L131" s="131">
        <v>18.7</v>
      </c>
      <c r="M131" s="131" t="s">
        <v>1</v>
      </c>
      <c r="N131" s="131"/>
      <c r="O131" s="131">
        <v>24</v>
      </c>
      <c r="P131" s="131">
        <v>6</v>
      </c>
      <c r="Q131" s="131">
        <v>16</v>
      </c>
      <c r="R131" s="131">
        <v>46</v>
      </c>
      <c r="S131" s="131"/>
      <c r="T131" s="131">
        <v>5.7</v>
      </c>
      <c r="U131" s="131">
        <v>0</v>
      </c>
      <c r="V131" s="131">
        <v>0</v>
      </c>
      <c r="W131" s="131">
        <v>0</v>
      </c>
      <c r="X131" s="131">
        <v>0</v>
      </c>
      <c r="Y131" s="132">
        <v>41702</v>
      </c>
      <c r="Z131" s="131"/>
      <c r="AA131" s="131"/>
      <c r="AB131" s="131" t="str">
        <f t="shared" si="48"/>
        <v/>
      </c>
      <c r="AC131" s="131">
        <f t="shared" si="45"/>
        <v>12</v>
      </c>
      <c r="AD131" s="143" t="str">
        <f t="shared" si="46"/>
        <v>A</v>
      </c>
      <c r="AE131" s="145">
        <f t="shared" si="47"/>
        <v>229.6</v>
      </c>
      <c r="AF131" s="12" t="b">
        <f t="shared" si="49"/>
        <v>0</v>
      </c>
    </row>
    <row r="132" spans="1:32">
      <c r="A132" s="131" t="s">
        <v>436</v>
      </c>
      <c r="B132" s="131">
        <v>351.5</v>
      </c>
      <c r="C132" s="131">
        <v>5</v>
      </c>
      <c r="D132" s="131">
        <v>137</v>
      </c>
      <c r="E132" s="131"/>
      <c r="F132" s="131">
        <v>292.10000000000002</v>
      </c>
      <c r="G132" s="131"/>
      <c r="H132" s="131">
        <v>162</v>
      </c>
      <c r="I132" s="131"/>
      <c r="J132" s="131">
        <v>32</v>
      </c>
      <c r="K132" s="131"/>
      <c r="L132" s="131">
        <v>0</v>
      </c>
      <c r="M132" s="131" t="s">
        <v>1</v>
      </c>
      <c r="N132" s="131"/>
      <c r="O132" s="131">
        <v>185</v>
      </c>
      <c r="P132" s="131">
        <v>147</v>
      </c>
      <c r="Q132" s="131">
        <v>21.5</v>
      </c>
      <c r="R132" s="131">
        <v>353.5</v>
      </c>
      <c r="S132" s="131"/>
      <c r="T132" s="131">
        <v>0</v>
      </c>
      <c r="U132" s="131">
        <v>0</v>
      </c>
      <c r="V132" s="131">
        <v>0</v>
      </c>
      <c r="W132" s="131">
        <v>0</v>
      </c>
      <c r="X132" s="131">
        <v>0</v>
      </c>
      <c r="Y132" s="132">
        <v>41702</v>
      </c>
      <c r="Z132" s="131"/>
      <c r="AA132" s="131"/>
      <c r="AB132" s="131" t="str">
        <f t="shared" si="48"/>
        <v/>
      </c>
      <c r="AC132" s="131">
        <f t="shared" si="45"/>
        <v>12</v>
      </c>
      <c r="AD132" s="143" t="str">
        <f t="shared" si="46"/>
        <v>A</v>
      </c>
      <c r="AE132" s="145">
        <f t="shared" si="47"/>
        <v>351.5</v>
      </c>
      <c r="AF132" s="12" t="b">
        <f t="shared" si="49"/>
        <v>0</v>
      </c>
    </row>
    <row r="133" spans="1:32">
      <c r="A133" s="131" t="s">
        <v>440</v>
      </c>
      <c r="B133" s="131">
        <v>261.2</v>
      </c>
      <c r="C133" s="131">
        <v>2.5</v>
      </c>
      <c r="D133" s="131">
        <v>34.200000000000003</v>
      </c>
      <c r="E133" s="131"/>
      <c r="F133" s="131">
        <v>181.7</v>
      </c>
      <c r="G133" s="131"/>
      <c r="H133" s="131">
        <v>156</v>
      </c>
      <c r="I133" s="131"/>
      <c r="J133" s="131">
        <v>23</v>
      </c>
      <c r="K133" s="131"/>
      <c r="L133" s="131">
        <v>0</v>
      </c>
      <c r="M133" s="131" t="s">
        <v>1</v>
      </c>
      <c r="N133" s="131"/>
      <c r="O133" s="131">
        <v>80.5</v>
      </c>
      <c r="P133" s="131">
        <v>1</v>
      </c>
      <c r="Q133" s="131">
        <v>3</v>
      </c>
      <c r="R133" s="131">
        <v>84.5</v>
      </c>
      <c r="S133" s="131"/>
      <c r="T133" s="131">
        <v>0</v>
      </c>
      <c r="U133" s="131">
        <v>0</v>
      </c>
      <c r="V133" s="131">
        <v>0</v>
      </c>
      <c r="W133" s="131">
        <v>0</v>
      </c>
      <c r="X133" s="131">
        <v>0</v>
      </c>
      <c r="Y133" s="132">
        <v>41702</v>
      </c>
      <c r="Z133" s="131"/>
      <c r="AA133" s="131"/>
      <c r="AB133" s="131" t="str">
        <f t="shared" si="48"/>
        <v/>
      </c>
      <c r="AC133" s="131">
        <f t="shared" si="45"/>
        <v>12</v>
      </c>
      <c r="AD133" s="143" t="str">
        <f t="shared" si="46"/>
        <v>A</v>
      </c>
      <c r="AE133" s="145">
        <f t="shared" si="47"/>
        <v>261.2</v>
      </c>
      <c r="AF133" s="12" t="b">
        <f t="shared" si="49"/>
        <v>0</v>
      </c>
    </row>
    <row r="134" spans="1:32">
      <c r="A134" s="131" t="s">
        <v>453</v>
      </c>
      <c r="B134" s="131">
        <v>1070.5999999999999</v>
      </c>
      <c r="C134" s="131">
        <v>0</v>
      </c>
      <c r="D134" s="131">
        <v>310.10000000000002</v>
      </c>
      <c r="E134" s="131"/>
      <c r="F134" s="131">
        <v>0</v>
      </c>
      <c r="G134" s="131"/>
      <c r="H134" s="131">
        <v>458</v>
      </c>
      <c r="I134" s="131"/>
      <c r="J134" s="131">
        <v>56</v>
      </c>
      <c r="K134" s="131"/>
      <c r="L134" s="131">
        <v>430</v>
      </c>
      <c r="M134" s="131" t="s">
        <v>1</v>
      </c>
      <c r="N134" s="131"/>
      <c r="O134" s="131">
        <v>394.2</v>
      </c>
      <c r="P134" s="131">
        <v>87</v>
      </c>
      <c r="Q134" s="131">
        <v>42</v>
      </c>
      <c r="R134" s="131">
        <v>523.20000000000005</v>
      </c>
      <c r="S134" s="131"/>
      <c r="T134" s="131">
        <v>0</v>
      </c>
      <c r="U134" s="131">
        <v>0</v>
      </c>
      <c r="V134" s="131">
        <v>0</v>
      </c>
      <c r="W134" s="131">
        <v>0</v>
      </c>
      <c r="X134" s="131">
        <v>0</v>
      </c>
      <c r="Y134" s="132">
        <v>41702</v>
      </c>
      <c r="Z134" s="131"/>
      <c r="AA134" s="131"/>
      <c r="AB134" s="131" t="str">
        <f t="shared" si="48"/>
        <v/>
      </c>
      <c r="AC134" s="131">
        <f t="shared" si="45"/>
        <v>12</v>
      </c>
      <c r="AD134" s="143" t="str">
        <f t="shared" si="46"/>
        <v>A</v>
      </c>
      <c r="AE134" s="145">
        <f t="shared" si="47"/>
        <v>1070.5999999999999</v>
      </c>
      <c r="AF134" s="12" t="b">
        <f t="shared" si="49"/>
        <v>0</v>
      </c>
    </row>
    <row r="135" spans="1:32">
      <c r="A135" s="131" t="s">
        <v>459</v>
      </c>
      <c r="B135" s="131">
        <v>685.7</v>
      </c>
      <c r="C135" s="131">
        <v>4.5</v>
      </c>
      <c r="D135" s="131">
        <v>100.5</v>
      </c>
      <c r="E135" s="131"/>
      <c r="F135" s="131">
        <v>1.1000000000000001</v>
      </c>
      <c r="G135" s="131"/>
      <c r="H135" s="131">
        <v>94</v>
      </c>
      <c r="I135" s="131"/>
      <c r="J135" s="131">
        <v>39</v>
      </c>
      <c r="K135" s="131"/>
      <c r="L135" s="131">
        <v>0</v>
      </c>
      <c r="M135" s="131" t="s">
        <v>1</v>
      </c>
      <c r="N135" s="131"/>
      <c r="O135" s="131">
        <v>285</v>
      </c>
      <c r="P135" s="131">
        <v>99</v>
      </c>
      <c r="Q135" s="131">
        <v>10</v>
      </c>
      <c r="R135" s="131">
        <v>394</v>
      </c>
      <c r="S135" s="131"/>
      <c r="T135" s="131">
        <v>0</v>
      </c>
      <c r="U135" s="131">
        <v>0</v>
      </c>
      <c r="V135" s="131">
        <v>0</v>
      </c>
      <c r="W135" s="131">
        <v>0</v>
      </c>
      <c r="X135" s="131">
        <v>0</v>
      </c>
      <c r="Y135" s="132">
        <v>41702</v>
      </c>
      <c r="Z135" s="131"/>
      <c r="AA135" s="131"/>
      <c r="AB135" s="131" t="str">
        <f t="shared" si="48"/>
        <v/>
      </c>
      <c r="AC135" s="131">
        <f t="shared" si="45"/>
        <v>12</v>
      </c>
      <c r="AD135" s="143" t="str">
        <f t="shared" si="46"/>
        <v>A</v>
      </c>
      <c r="AE135" s="145">
        <f t="shared" si="47"/>
        <v>685.7</v>
      </c>
      <c r="AF135" s="12" t="b">
        <f t="shared" si="49"/>
        <v>0</v>
      </c>
    </row>
    <row r="136" spans="1:32">
      <c r="A136" s="131" t="s">
        <v>528</v>
      </c>
      <c r="B136" s="131">
        <v>3464.1</v>
      </c>
      <c r="C136" s="131">
        <v>0</v>
      </c>
      <c r="D136" s="131">
        <v>502.5</v>
      </c>
      <c r="E136" s="131"/>
      <c r="F136" s="131">
        <v>288.8</v>
      </c>
      <c r="G136" s="131"/>
      <c r="H136" s="131">
        <v>1037</v>
      </c>
      <c r="I136" s="131"/>
      <c r="J136" s="131">
        <v>268</v>
      </c>
      <c r="K136" s="131"/>
      <c r="L136" s="131">
        <v>0</v>
      </c>
      <c r="M136" s="131" t="s">
        <v>1</v>
      </c>
      <c r="N136" s="131"/>
      <c r="O136" s="131">
        <v>2473</v>
      </c>
      <c r="P136" s="131">
        <v>804</v>
      </c>
      <c r="Q136" s="131">
        <v>201</v>
      </c>
      <c r="R136" s="131">
        <v>3478</v>
      </c>
      <c r="S136" s="131"/>
      <c r="T136" s="131">
        <v>0</v>
      </c>
      <c r="U136" s="131">
        <v>0</v>
      </c>
      <c r="V136" s="131">
        <v>0</v>
      </c>
      <c r="W136" s="131">
        <v>0</v>
      </c>
      <c r="X136" s="131">
        <v>2</v>
      </c>
      <c r="Y136" s="132">
        <v>41702</v>
      </c>
      <c r="Z136" s="131"/>
      <c r="AA136" s="131"/>
      <c r="AB136" s="131" t="str">
        <f t="shared" si="48"/>
        <v/>
      </c>
      <c r="AC136" s="131">
        <f t="shared" si="45"/>
        <v>12</v>
      </c>
      <c r="AD136" s="143" t="str">
        <f t="shared" si="46"/>
        <v>A</v>
      </c>
      <c r="AE136" s="145">
        <f t="shared" si="47"/>
        <v>3464.1</v>
      </c>
      <c r="AF136" s="12" t="b">
        <f t="shared" si="49"/>
        <v>0</v>
      </c>
    </row>
    <row r="137" spans="1:32">
      <c r="A137" s="131" t="s">
        <v>573</v>
      </c>
      <c r="B137" s="131">
        <v>99</v>
      </c>
      <c r="C137" s="131">
        <v>1</v>
      </c>
      <c r="D137" s="131">
        <v>6.7</v>
      </c>
      <c r="E137" s="131"/>
      <c r="F137" s="131">
        <v>18.3</v>
      </c>
      <c r="G137" s="131"/>
      <c r="H137" s="131">
        <v>36</v>
      </c>
      <c r="I137" s="131"/>
      <c r="J137" s="131">
        <v>5</v>
      </c>
      <c r="K137" s="131"/>
      <c r="L137" s="131">
        <v>0</v>
      </c>
      <c r="M137" s="131" t="s">
        <v>1</v>
      </c>
      <c r="N137" s="131"/>
      <c r="O137" s="131">
        <v>40</v>
      </c>
      <c r="P137" s="131">
        <v>0</v>
      </c>
      <c r="Q137" s="131">
        <v>0</v>
      </c>
      <c r="R137" s="131">
        <v>40</v>
      </c>
      <c r="S137" s="131"/>
      <c r="T137" s="131">
        <v>0</v>
      </c>
      <c r="U137" s="131">
        <v>0</v>
      </c>
      <c r="V137" s="131">
        <v>0</v>
      </c>
      <c r="W137" s="131">
        <v>0</v>
      </c>
      <c r="X137" s="131">
        <v>0</v>
      </c>
      <c r="Y137" s="132">
        <v>41702</v>
      </c>
      <c r="Z137" s="131"/>
      <c r="AA137" s="131"/>
      <c r="AB137" s="131" t="str">
        <f t="shared" si="48"/>
        <v/>
      </c>
      <c r="AC137" s="131">
        <f t="shared" si="45"/>
        <v>12</v>
      </c>
      <c r="AD137" s="143" t="str">
        <f t="shared" si="46"/>
        <v>A</v>
      </c>
      <c r="AE137" s="145">
        <f t="shared" si="47"/>
        <v>99</v>
      </c>
      <c r="AF137" s="12" t="b">
        <f t="shared" si="49"/>
        <v>0</v>
      </c>
    </row>
    <row r="138" spans="1:32">
      <c r="A138" s="131" t="s">
        <v>350</v>
      </c>
      <c r="B138" s="131">
        <v>477.5</v>
      </c>
      <c r="C138" s="131">
        <v>6</v>
      </c>
      <c r="D138" s="131">
        <v>0</v>
      </c>
      <c r="E138" s="131"/>
      <c r="F138" s="131">
        <v>0</v>
      </c>
      <c r="G138" s="131"/>
      <c r="H138" s="131">
        <v>304</v>
      </c>
      <c r="I138" s="131"/>
      <c r="J138" s="131">
        <v>46</v>
      </c>
      <c r="K138" s="131"/>
      <c r="L138" s="131">
        <v>0</v>
      </c>
      <c r="M138" s="131" t="s">
        <v>1</v>
      </c>
      <c r="N138" s="131"/>
      <c r="O138" s="131">
        <v>205</v>
      </c>
      <c r="P138" s="131">
        <v>111.6</v>
      </c>
      <c r="Q138" s="131">
        <v>3</v>
      </c>
      <c r="R138" s="131">
        <v>319.60000000000002</v>
      </c>
      <c r="S138" s="131"/>
      <c r="T138" s="131">
        <v>0</v>
      </c>
      <c r="U138" s="131">
        <v>0</v>
      </c>
      <c r="V138" s="131">
        <v>0</v>
      </c>
      <c r="W138" s="131">
        <v>0</v>
      </c>
      <c r="X138" s="131">
        <v>0</v>
      </c>
      <c r="Y138" s="132">
        <v>41708</v>
      </c>
      <c r="Z138" s="131"/>
      <c r="AA138" s="131"/>
      <c r="AB138" s="131" t="str">
        <f t="shared" si="48"/>
        <v/>
      </c>
      <c r="AC138" s="131">
        <f t="shared" ref="AC138:AC148" si="50">IF(Y138=Y137,AC137,AC137+1)</f>
        <v>13</v>
      </c>
      <c r="AD138" s="143" t="str">
        <f t="shared" ref="AD138:AD148" si="51">IF(Z138="", "A", "AM")</f>
        <v>A</v>
      </c>
      <c r="AE138" s="145">
        <f t="shared" ref="AE138:AE148" si="52">B138-T138</f>
        <v>477.5</v>
      </c>
      <c r="AF138" s="12" t="b">
        <f t="shared" si="49"/>
        <v>0</v>
      </c>
    </row>
    <row r="139" spans="1:32">
      <c r="A139" s="131" t="s">
        <v>355</v>
      </c>
      <c r="B139" s="131">
        <v>432.8</v>
      </c>
      <c r="C139" s="131">
        <v>0</v>
      </c>
      <c r="D139" s="131">
        <v>74.3</v>
      </c>
      <c r="E139" s="131"/>
      <c r="F139" s="131">
        <v>0</v>
      </c>
      <c r="G139" s="131"/>
      <c r="H139" s="131">
        <v>203</v>
      </c>
      <c r="I139" s="131"/>
      <c r="J139" s="131">
        <v>27</v>
      </c>
      <c r="K139" s="131"/>
      <c r="L139" s="131">
        <v>0</v>
      </c>
      <c r="M139" s="131" t="s">
        <v>1</v>
      </c>
      <c r="N139" s="131"/>
      <c r="O139" s="131">
        <v>261.10000000000002</v>
      </c>
      <c r="P139" s="131">
        <v>1</v>
      </c>
      <c r="Q139" s="131">
        <v>2</v>
      </c>
      <c r="R139" s="131">
        <v>264.10000000000002</v>
      </c>
      <c r="S139" s="131"/>
      <c r="T139" s="131">
        <v>0</v>
      </c>
      <c r="U139" s="131">
        <v>0</v>
      </c>
      <c r="V139" s="131">
        <v>0</v>
      </c>
      <c r="W139" s="131">
        <v>0</v>
      </c>
      <c r="X139" s="131">
        <v>0</v>
      </c>
      <c r="Y139" s="132">
        <v>41708</v>
      </c>
      <c r="Z139" s="131"/>
      <c r="AA139" s="131"/>
      <c r="AB139" s="131" t="str">
        <f t="shared" si="48"/>
        <v/>
      </c>
      <c r="AC139" s="131">
        <f t="shared" si="50"/>
        <v>13</v>
      </c>
      <c r="AD139" s="143" t="str">
        <f t="shared" si="51"/>
        <v>A</v>
      </c>
      <c r="AE139" s="145">
        <f t="shared" si="52"/>
        <v>432.8</v>
      </c>
      <c r="AF139" s="12" t="b">
        <f t="shared" si="49"/>
        <v>0</v>
      </c>
    </row>
    <row r="140" spans="1:32">
      <c r="A140" s="131" t="s">
        <v>382</v>
      </c>
      <c r="B140" s="131">
        <v>134.5</v>
      </c>
      <c r="C140" s="131">
        <v>2.5</v>
      </c>
      <c r="D140" s="131">
        <v>94.8</v>
      </c>
      <c r="E140" s="131"/>
      <c r="F140" s="131">
        <v>0</v>
      </c>
      <c r="G140" s="131"/>
      <c r="H140" s="131">
        <v>90</v>
      </c>
      <c r="I140" s="131"/>
      <c r="J140" s="131">
        <v>11</v>
      </c>
      <c r="K140" s="131"/>
      <c r="L140" s="131">
        <v>0</v>
      </c>
      <c r="M140" s="131" t="s">
        <v>1</v>
      </c>
      <c r="N140" s="131"/>
      <c r="O140" s="131">
        <v>31.5</v>
      </c>
      <c r="P140" s="131">
        <v>4.5</v>
      </c>
      <c r="Q140" s="131">
        <v>35</v>
      </c>
      <c r="R140" s="131">
        <v>71</v>
      </c>
      <c r="S140" s="131"/>
      <c r="T140" s="131">
        <v>0</v>
      </c>
      <c r="U140" s="131">
        <v>0</v>
      </c>
      <c r="V140" s="131">
        <v>0</v>
      </c>
      <c r="W140" s="131">
        <v>0</v>
      </c>
      <c r="X140" s="131">
        <v>0</v>
      </c>
      <c r="Y140" s="132">
        <v>41708</v>
      </c>
      <c r="Z140" s="131"/>
      <c r="AA140" s="131"/>
      <c r="AB140" s="131" t="str">
        <f t="shared" si="48"/>
        <v/>
      </c>
      <c r="AC140" s="131">
        <f t="shared" si="50"/>
        <v>13</v>
      </c>
      <c r="AD140" s="143" t="str">
        <f t="shared" si="51"/>
        <v>A</v>
      </c>
      <c r="AE140" s="145">
        <f t="shared" si="52"/>
        <v>134.5</v>
      </c>
      <c r="AF140" s="12" t="b">
        <f t="shared" si="49"/>
        <v>0</v>
      </c>
    </row>
    <row r="141" spans="1:32">
      <c r="A141" s="131" t="s">
        <v>384</v>
      </c>
      <c r="B141" s="131">
        <v>163.19999999999999</v>
      </c>
      <c r="C141" s="131">
        <v>0</v>
      </c>
      <c r="D141" s="131">
        <v>0</v>
      </c>
      <c r="E141" s="131"/>
      <c r="F141" s="131">
        <v>0</v>
      </c>
      <c r="G141" s="131"/>
      <c r="H141" s="131">
        <v>89</v>
      </c>
      <c r="I141" s="131"/>
      <c r="J141" s="131">
        <v>7</v>
      </c>
      <c r="K141" s="131"/>
      <c r="L141" s="131">
        <v>0</v>
      </c>
      <c r="M141" s="131" t="s">
        <v>1</v>
      </c>
      <c r="N141" s="131"/>
      <c r="O141" s="131">
        <v>27</v>
      </c>
      <c r="P141" s="131">
        <v>14</v>
      </c>
      <c r="Q141" s="131">
        <v>0</v>
      </c>
      <c r="R141" s="131">
        <v>41</v>
      </c>
      <c r="S141" s="131"/>
      <c r="T141" s="131">
        <v>0</v>
      </c>
      <c r="U141" s="131">
        <v>0</v>
      </c>
      <c r="V141" s="131">
        <v>0</v>
      </c>
      <c r="W141" s="131">
        <v>0</v>
      </c>
      <c r="X141" s="131">
        <v>0</v>
      </c>
      <c r="Y141" s="132">
        <v>41708</v>
      </c>
      <c r="Z141" s="131"/>
      <c r="AA141" s="131"/>
      <c r="AB141" s="131" t="str">
        <f t="shared" si="48"/>
        <v/>
      </c>
      <c r="AC141" s="131">
        <f t="shared" si="50"/>
        <v>13</v>
      </c>
      <c r="AD141" s="143" t="str">
        <f t="shared" si="51"/>
        <v>A</v>
      </c>
      <c r="AE141" s="145">
        <f t="shared" si="52"/>
        <v>163.19999999999999</v>
      </c>
      <c r="AF141" s="12" t="b">
        <f t="shared" si="49"/>
        <v>0</v>
      </c>
    </row>
    <row r="142" spans="1:32">
      <c r="A142" s="131" t="s">
        <v>391</v>
      </c>
      <c r="B142" s="131">
        <v>97.5</v>
      </c>
      <c r="C142" s="131">
        <v>0</v>
      </c>
      <c r="D142" s="131">
        <v>25.3</v>
      </c>
      <c r="E142" s="131"/>
      <c r="F142" s="131">
        <v>0</v>
      </c>
      <c r="G142" s="131"/>
      <c r="H142" s="131">
        <v>23</v>
      </c>
      <c r="I142" s="131"/>
      <c r="J142" s="131">
        <v>3</v>
      </c>
      <c r="K142" s="131"/>
      <c r="L142" s="131">
        <v>0</v>
      </c>
      <c r="M142" s="131" t="s">
        <v>1</v>
      </c>
      <c r="N142" s="131"/>
      <c r="O142" s="131">
        <v>68</v>
      </c>
      <c r="P142" s="131">
        <v>0</v>
      </c>
      <c r="Q142" s="131">
        <v>0</v>
      </c>
      <c r="R142" s="131">
        <v>70</v>
      </c>
      <c r="S142" s="131"/>
      <c r="T142" s="131">
        <v>0</v>
      </c>
      <c r="U142" s="131">
        <v>0</v>
      </c>
      <c r="V142" s="131">
        <v>0</v>
      </c>
      <c r="W142" s="131">
        <v>0</v>
      </c>
      <c r="X142" s="131">
        <v>0</v>
      </c>
      <c r="Y142" s="132">
        <v>41708</v>
      </c>
      <c r="Z142" s="131"/>
      <c r="AA142" s="131"/>
      <c r="AB142" s="131" t="str">
        <f t="shared" si="48"/>
        <v/>
      </c>
      <c r="AC142" s="131">
        <f t="shared" si="50"/>
        <v>13</v>
      </c>
      <c r="AD142" s="143" t="str">
        <f t="shared" si="51"/>
        <v>A</v>
      </c>
      <c r="AE142" s="145">
        <f t="shared" si="52"/>
        <v>97.5</v>
      </c>
      <c r="AF142" s="12" t="b">
        <f t="shared" si="49"/>
        <v>0</v>
      </c>
    </row>
    <row r="143" spans="1:32">
      <c r="A143" s="131" t="s">
        <v>444</v>
      </c>
      <c r="B143" s="131">
        <v>492.3</v>
      </c>
      <c r="C143" s="131">
        <v>0</v>
      </c>
      <c r="D143" s="131">
        <v>137.5</v>
      </c>
      <c r="E143" s="131"/>
      <c r="F143" s="131">
        <v>0</v>
      </c>
      <c r="G143" s="131"/>
      <c r="H143" s="131">
        <v>147</v>
      </c>
      <c r="I143" s="131"/>
      <c r="J143" s="131">
        <v>33</v>
      </c>
      <c r="K143" s="131"/>
      <c r="L143" s="131">
        <v>0</v>
      </c>
      <c r="M143" s="131" t="s">
        <v>1</v>
      </c>
      <c r="N143" s="131"/>
      <c r="O143" s="131">
        <v>156</v>
      </c>
      <c r="P143" s="131">
        <v>47.8</v>
      </c>
      <c r="Q143" s="131">
        <v>19.7</v>
      </c>
      <c r="R143" s="131">
        <v>223.5</v>
      </c>
      <c r="S143" s="131"/>
      <c r="T143" s="131">
        <v>0</v>
      </c>
      <c r="U143" s="131">
        <v>0</v>
      </c>
      <c r="V143" s="131">
        <v>0</v>
      </c>
      <c r="W143" s="131">
        <v>0</v>
      </c>
      <c r="X143" s="131">
        <v>0</v>
      </c>
      <c r="Y143" s="132">
        <v>41708</v>
      </c>
      <c r="Z143" s="131"/>
      <c r="AA143" s="131"/>
      <c r="AB143" s="131" t="str">
        <f t="shared" si="48"/>
        <v/>
      </c>
      <c r="AC143" s="131">
        <f t="shared" si="50"/>
        <v>13</v>
      </c>
      <c r="AD143" s="143" t="str">
        <f t="shared" si="51"/>
        <v>A</v>
      </c>
      <c r="AE143" s="145">
        <f t="shared" si="52"/>
        <v>492.3</v>
      </c>
      <c r="AF143" s="12" t="b">
        <f t="shared" si="49"/>
        <v>0</v>
      </c>
    </row>
    <row r="144" spans="1:32">
      <c r="A144" s="131" t="s">
        <v>467</v>
      </c>
      <c r="B144" s="131">
        <v>515.5</v>
      </c>
      <c r="C144" s="131">
        <v>9</v>
      </c>
      <c r="D144" s="131">
        <v>128.19999999999999</v>
      </c>
      <c r="E144" s="131"/>
      <c r="F144" s="131">
        <v>0</v>
      </c>
      <c r="G144" s="131"/>
      <c r="H144" s="131">
        <v>132</v>
      </c>
      <c r="I144" s="131"/>
      <c r="J144" s="131">
        <v>15</v>
      </c>
      <c r="K144" s="131"/>
      <c r="L144" s="131">
        <v>0</v>
      </c>
      <c r="M144" s="131" t="s">
        <v>1</v>
      </c>
      <c r="N144" s="131"/>
      <c r="O144" s="131">
        <v>276</v>
      </c>
      <c r="P144" s="131">
        <v>32</v>
      </c>
      <c r="Q144" s="131">
        <v>39</v>
      </c>
      <c r="R144" s="131">
        <v>347</v>
      </c>
      <c r="S144" s="131"/>
      <c r="T144" s="131">
        <v>0</v>
      </c>
      <c r="U144" s="131">
        <v>0</v>
      </c>
      <c r="V144" s="131">
        <v>0</v>
      </c>
      <c r="W144" s="131">
        <v>0</v>
      </c>
      <c r="X144" s="131">
        <v>0</v>
      </c>
      <c r="Y144" s="132">
        <v>41708</v>
      </c>
      <c r="Z144" s="131"/>
      <c r="AA144" s="131"/>
      <c r="AB144" s="131" t="str">
        <f t="shared" si="48"/>
        <v/>
      </c>
      <c r="AC144" s="131">
        <f t="shared" si="50"/>
        <v>13</v>
      </c>
      <c r="AD144" s="143" t="str">
        <f t="shared" si="51"/>
        <v>A</v>
      </c>
      <c r="AE144" s="145">
        <f t="shared" si="52"/>
        <v>515.5</v>
      </c>
      <c r="AF144" s="12" t="b">
        <f t="shared" si="49"/>
        <v>0</v>
      </c>
    </row>
    <row r="145" spans="1:32">
      <c r="A145" s="131" t="s">
        <v>526</v>
      </c>
      <c r="B145" s="131">
        <v>404.3</v>
      </c>
      <c r="C145" s="131">
        <v>8</v>
      </c>
      <c r="D145" s="131">
        <v>128.30000000000001</v>
      </c>
      <c r="E145" s="131"/>
      <c r="F145" s="131">
        <v>0</v>
      </c>
      <c r="G145" s="131"/>
      <c r="H145" s="131">
        <v>88</v>
      </c>
      <c r="I145" s="131"/>
      <c r="J145" s="131">
        <v>39</v>
      </c>
      <c r="K145" s="131"/>
      <c r="L145" s="131">
        <v>0</v>
      </c>
      <c r="M145" s="131" t="s">
        <v>1</v>
      </c>
      <c r="N145" s="131"/>
      <c r="O145" s="131">
        <v>113</v>
      </c>
      <c r="P145" s="131">
        <v>12</v>
      </c>
      <c r="Q145" s="131">
        <v>76</v>
      </c>
      <c r="R145" s="131">
        <v>201</v>
      </c>
      <c r="S145" s="131"/>
      <c r="T145" s="131">
        <v>0</v>
      </c>
      <c r="U145" s="131">
        <v>0</v>
      </c>
      <c r="V145" s="131">
        <v>0</v>
      </c>
      <c r="W145" s="131">
        <v>0</v>
      </c>
      <c r="X145" s="131">
        <v>0</v>
      </c>
      <c r="Y145" s="132">
        <v>41708</v>
      </c>
      <c r="Z145" s="131"/>
      <c r="AA145" s="131"/>
      <c r="AB145" s="131" t="str">
        <f t="shared" si="48"/>
        <v/>
      </c>
      <c r="AC145" s="131">
        <f t="shared" si="50"/>
        <v>13</v>
      </c>
      <c r="AD145" s="143" t="str">
        <f t="shared" si="51"/>
        <v>A</v>
      </c>
      <c r="AE145" s="145">
        <f t="shared" si="52"/>
        <v>404.3</v>
      </c>
      <c r="AF145" s="12" t="b">
        <f t="shared" si="49"/>
        <v>0</v>
      </c>
    </row>
    <row r="146" spans="1:32">
      <c r="A146" s="131" t="s">
        <v>531</v>
      </c>
      <c r="B146" s="131">
        <v>306.5</v>
      </c>
      <c r="C146" s="131">
        <v>4</v>
      </c>
      <c r="D146" s="131">
        <v>73.7</v>
      </c>
      <c r="E146" s="131"/>
      <c r="F146" s="131">
        <v>0.5</v>
      </c>
      <c r="G146" s="131"/>
      <c r="H146" s="131">
        <v>123</v>
      </c>
      <c r="I146" s="131"/>
      <c r="J146" s="131">
        <v>14</v>
      </c>
      <c r="K146" s="131"/>
      <c r="L146" s="131">
        <v>0</v>
      </c>
      <c r="M146" s="131" t="s">
        <v>1</v>
      </c>
      <c r="N146" s="131"/>
      <c r="O146" s="131">
        <v>62</v>
      </c>
      <c r="P146" s="131">
        <v>40</v>
      </c>
      <c r="Q146" s="131">
        <v>5</v>
      </c>
      <c r="R146" s="131">
        <v>107</v>
      </c>
      <c r="S146" s="131"/>
      <c r="T146" s="131">
        <v>0</v>
      </c>
      <c r="U146" s="131">
        <v>0</v>
      </c>
      <c r="V146" s="131">
        <v>0</v>
      </c>
      <c r="W146" s="131">
        <v>0</v>
      </c>
      <c r="X146" s="131">
        <v>0</v>
      </c>
      <c r="Y146" s="132">
        <v>41708</v>
      </c>
      <c r="Z146" s="131"/>
      <c r="AA146" s="131"/>
      <c r="AB146" s="131" t="str">
        <f t="shared" si="48"/>
        <v/>
      </c>
      <c r="AC146" s="131">
        <f t="shared" si="50"/>
        <v>13</v>
      </c>
      <c r="AD146" s="143" t="str">
        <f t="shared" si="51"/>
        <v>A</v>
      </c>
      <c r="AE146" s="145">
        <f t="shared" si="52"/>
        <v>306.5</v>
      </c>
      <c r="AF146" s="12" t="b">
        <f t="shared" si="49"/>
        <v>0</v>
      </c>
    </row>
    <row r="147" spans="1:32">
      <c r="A147" s="131" t="s">
        <v>532</v>
      </c>
      <c r="B147" s="131">
        <v>278</v>
      </c>
      <c r="C147" s="131">
        <v>0</v>
      </c>
      <c r="D147" s="131">
        <v>100.5</v>
      </c>
      <c r="E147" s="131"/>
      <c r="F147" s="131">
        <v>0</v>
      </c>
      <c r="G147" s="131"/>
      <c r="H147" s="131">
        <v>162</v>
      </c>
      <c r="I147" s="131"/>
      <c r="J147" s="131">
        <v>5</v>
      </c>
      <c r="K147" s="131"/>
      <c r="L147" s="131">
        <v>0</v>
      </c>
      <c r="M147" s="131" t="s">
        <v>1</v>
      </c>
      <c r="N147" s="131"/>
      <c r="O147" s="131">
        <v>145</v>
      </c>
      <c r="P147" s="131">
        <v>0</v>
      </c>
      <c r="Q147" s="131">
        <v>0</v>
      </c>
      <c r="R147" s="131">
        <v>145</v>
      </c>
      <c r="S147" s="131"/>
      <c r="T147" s="131">
        <v>0</v>
      </c>
      <c r="U147" s="131">
        <v>0</v>
      </c>
      <c r="V147" s="131">
        <v>0</v>
      </c>
      <c r="W147" s="131">
        <v>0</v>
      </c>
      <c r="X147" s="131">
        <v>0</v>
      </c>
      <c r="Y147" s="132">
        <v>41708</v>
      </c>
      <c r="Z147" s="131"/>
      <c r="AA147" s="131"/>
      <c r="AB147" s="131" t="str">
        <f t="shared" si="48"/>
        <v/>
      </c>
      <c r="AC147" s="131">
        <f t="shared" si="50"/>
        <v>13</v>
      </c>
      <c r="AD147" s="143" t="str">
        <f t="shared" si="51"/>
        <v>A</v>
      </c>
      <c r="AE147" s="145">
        <f t="shared" si="52"/>
        <v>278</v>
      </c>
      <c r="AF147" s="12" t="b">
        <f t="shared" si="49"/>
        <v>0</v>
      </c>
    </row>
    <row r="148" spans="1:32">
      <c r="A148" s="131" t="s">
        <v>547</v>
      </c>
      <c r="B148" s="131">
        <v>146.80000000000001</v>
      </c>
      <c r="C148" s="131">
        <v>0</v>
      </c>
      <c r="D148" s="131">
        <v>0</v>
      </c>
      <c r="E148" s="131"/>
      <c r="F148" s="131">
        <v>0</v>
      </c>
      <c r="G148" s="131"/>
      <c r="H148" s="131">
        <v>76</v>
      </c>
      <c r="I148" s="131"/>
      <c r="J148" s="131">
        <v>10</v>
      </c>
      <c r="K148" s="131"/>
      <c r="L148" s="131">
        <v>0</v>
      </c>
      <c r="M148" s="131" t="s">
        <v>1</v>
      </c>
      <c r="N148" s="131"/>
      <c r="O148" s="131">
        <v>48</v>
      </c>
      <c r="P148" s="131">
        <v>19</v>
      </c>
      <c r="Q148" s="131">
        <v>15</v>
      </c>
      <c r="R148" s="131">
        <v>82</v>
      </c>
      <c r="S148" s="131"/>
      <c r="T148" s="131">
        <v>0</v>
      </c>
      <c r="U148" s="131">
        <v>0</v>
      </c>
      <c r="V148" s="131">
        <v>0</v>
      </c>
      <c r="W148" s="131">
        <v>0</v>
      </c>
      <c r="X148" s="131">
        <v>0</v>
      </c>
      <c r="Y148" s="132">
        <v>41708</v>
      </c>
      <c r="Z148" s="131"/>
      <c r="AA148" s="131"/>
      <c r="AB148" s="131" t="str">
        <f t="shared" si="48"/>
        <v/>
      </c>
      <c r="AC148" s="131">
        <f t="shared" si="50"/>
        <v>13</v>
      </c>
      <c r="AD148" s="143" t="str">
        <f t="shared" si="51"/>
        <v>A</v>
      </c>
      <c r="AE148" s="145">
        <f t="shared" si="52"/>
        <v>146.80000000000001</v>
      </c>
      <c r="AF148" s="12" t="b">
        <f t="shared" si="49"/>
        <v>0</v>
      </c>
    </row>
    <row r="149" spans="1:32">
      <c r="A149" s="131" t="s">
        <v>481</v>
      </c>
      <c r="B149" s="131">
        <v>272</v>
      </c>
      <c r="C149" s="131">
        <v>0</v>
      </c>
      <c r="D149" s="131">
        <v>79.400000000000006</v>
      </c>
      <c r="E149" s="131"/>
      <c r="F149" s="131">
        <v>0</v>
      </c>
      <c r="G149" s="131"/>
      <c r="H149" s="131">
        <v>107</v>
      </c>
      <c r="I149" s="131"/>
      <c r="J149" s="131">
        <v>15</v>
      </c>
      <c r="K149" s="131"/>
      <c r="L149" s="131">
        <v>0</v>
      </c>
      <c r="M149" s="131" t="s">
        <v>1</v>
      </c>
      <c r="N149" s="131"/>
      <c r="O149" s="131">
        <v>75</v>
      </c>
      <c r="P149" s="131">
        <v>0</v>
      </c>
      <c r="Q149" s="131">
        <v>4</v>
      </c>
      <c r="R149" s="131">
        <v>79</v>
      </c>
      <c r="S149" s="131"/>
      <c r="T149" s="131">
        <v>0</v>
      </c>
      <c r="U149" s="131">
        <v>0</v>
      </c>
      <c r="V149" s="131">
        <v>0</v>
      </c>
      <c r="W149" s="131">
        <v>0</v>
      </c>
      <c r="X149" s="131">
        <v>1</v>
      </c>
      <c r="Y149" s="132">
        <v>41715</v>
      </c>
      <c r="Z149" s="131"/>
      <c r="AA149" s="131"/>
      <c r="AB149" s="131" t="str">
        <f t="shared" si="48"/>
        <v/>
      </c>
      <c r="AC149" s="131">
        <f t="shared" si="45"/>
        <v>14</v>
      </c>
      <c r="AD149" s="143" t="str">
        <f t="shared" si="46"/>
        <v>A</v>
      </c>
      <c r="AE149" s="145">
        <f t="shared" si="47"/>
        <v>272</v>
      </c>
      <c r="AF149" s="12" t="b">
        <f t="shared" si="49"/>
        <v>0</v>
      </c>
    </row>
    <row r="150" spans="1:32">
      <c r="A150" s="131" t="s">
        <v>508</v>
      </c>
      <c r="B150" s="131">
        <v>212</v>
      </c>
      <c r="C150" s="131">
        <v>0</v>
      </c>
      <c r="D150" s="131">
        <v>74.099999999999994</v>
      </c>
      <c r="E150" s="131"/>
      <c r="F150" s="131">
        <v>0</v>
      </c>
      <c r="G150" s="131"/>
      <c r="H150" s="131">
        <v>84</v>
      </c>
      <c r="I150" s="131"/>
      <c r="J150" s="131">
        <v>17</v>
      </c>
      <c r="K150" s="131"/>
      <c r="L150" s="131">
        <v>0</v>
      </c>
      <c r="M150" s="131" t="s">
        <v>1</v>
      </c>
      <c r="N150" s="131"/>
      <c r="O150" s="131">
        <v>83</v>
      </c>
      <c r="P150" s="131">
        <v>4</v>
      </c>
      <c r="Q150" s="131">
        <v>1</v>
      </c>
      <c r="R150" s="131">
        <v>88</v>
      </c>
      <c r="S150" s="131"/>
      <c r="T150" s="131">
        <v>0</v>
      </c>
      <c r="U150" s="131">
        <v>0</v>
      </c>
      <c r="V150" s="131">
        <v>0</v>
      </c>
      <c r="W150" s="131">
        <v>0</v>
      </c>
      <c r="X150" s="131">
        <v>0</v>
      </c>
      <c r="Y150" s="132">
        <v>41715</v>
      </c>
      <c r="Z150" s="131"/>
      <c r="AA150" s="131"/>
      <c r="AB150" s="131" t="str">
        <f t="shared" si="48"/>
        <v/>
      </c>
      <c r="AC150" s="131">
        <f t="shared" si="45"/>
        <v>14</v>
      </c>
      <c r="AD150" s="143" t="str">
        <f t="shared" si="46"/>
        <v>A</v>
      </c>
      <c r="AE150" s="145">
        <f t="shared" si="47"/>
        <v>212</v>
      </c>
      <c r="AF150" s="12" t="b">
        <f t="shared" si="49"/>
        <v>0</v>
      </c>
    </row>
    <row r="151" spans="1:32">
      <c r="A151" s="131" t="s">
        <v>509</v>
      </c>
      <c r="B151" s="131">
        <v>2984.1</v>
      </c>
      <c r="C151" s="131">
        <v>15</v>
      </c>
      <c r="D151" s="131">
        <v>539.70000000000005</v>
      </c>
      <c r="E151" s="131"/>
      <c r="F151" s="131">
        <v>2609.6</v>
      </c>
      <c r="G151" s="131"/>
      <c r="H151" s="131">
        <v>1808</v>
      </c>
      <c r="I151" s="131"/>
      <c r="J151" s="131">
        <v>156</v>
      </c>
      <c r="K151" s="131"/>
      <c r="L151" s="131">
        <v>0</v>
      </c>
      <c r="M151" s="131" t="s">
        <v>1</v>
      </c>
      <c r="N151" s="131"/>
      <c r="O151" s="131">
        <v>196</v>
      </c>
      <c r="P151" s="131">
        <v>1</v>
      </c>
      <c r="Q151" s="131">
        <v>6</v>
      </c>
      <c r="R151" s="131">
        <v>203</v>
      </c>
      <c r="S151" s="131"/>
      <c r="T151" s="131">
        <v>0</v>
      </c>
      <c r="U151" s="131">
        <v>0</v>
      </c>
      <c r="V151" s="131">
        <v>0</v>
      </c>
      <c r="W151" s="131">
        <v>0</v>
      </c>
      <c r="X151" s="131">
        <v>0</v>
      </c>
      <c r="Y151" s="132">
        <v>41715</v>
      </c>
      <c r="Z151" s="131"/>
      <c r="AA151" s="131"/>
      <c r="AB151" s="131" t="str">
        <f t="shared" si="48"/>
        <v/>
      </c>
      <c r="AC151" s="131">
        <f t="shared" si="45"/>
        <v>14</v>
      </c>
      <c r="AD151" s="143" t="str">
        <f t="shared" si="46"/>
        <v>A</v>
      </c>
      <c r="AE151" s="145">
        <f t="shared" si="47"/>
        <v>2984.1</v>
      </c>
      <c r="AF151" s="12" t="b">
        <f t="shared" si="49"/>
        <v>0</v>
      </c>
    </row>
    <row r="152" spans="1:32">
      <c r="A152" s="131" t="s">
        <v>513</v>
      </c>
      <c r="B152" s="131">
        <v>267</v>
      </c>
      <c r="C152" s="131">
        <v>0</v>
      </c>
      <c r="D152" s="131">
        <v>102.5</v>
      </c>
      <c r="E152" s="131"/>
      <c r="F152" s="131">
        <v>0</v>
      </c>
      <c r="G152" s="131"/>
      <c r="H152" s="131">
        <v>51</v>
      </c>
      <c r="I152" s="131"/>
      <c r="J152" s="131">
        <v>13</v>
      </c>
      <c r="K152" s="131"/>
      <c r="L152" s="131">
        <v>0</v>
      </c>
      <c r="M152" s="131" t="s">
        <v>1</v>
      </c>
      <c r="N152" s="131"/>
      <c r="O152" s="131">
        <v>72</v>
      </c>
      <c r="P152" s="131">
        <v>2</v>
      </c>
      <c r="Q152" s="131">
        <v>43</v>
      </c>
      <c r="R152" s="131">
        <v>117</v>
      </c>
      <c r="S152" s="131"/>
      <c r="T152" s="131">
        <v>0</v>
      </c>
      <c r="U152" s="131">
        <v>0</v>
      </c>
      <c r="V152" s="131">
        <v>0</v>
      </c>
      <c r="W152" s="131">
        <v>0</v>
      </c>
      <c r="X152" s="131">
        <v>0</v>
      </c>
      <c r="Y152" s="132">
        <v>41715</v>
      </c>
      <c r="Z152" s="131"/>
      <c r="AA152" s="131"/>
      <c r="AB152" s="131" t="str">
        <f t="shared" si="48"/>
        <v/>
      </c>
      <c r="AC152" s="131">
        <f t="shared" si="45"/>
        <v>14</v>
      </c>
      <c r="AD152" s="143" t="str">
        <f t="shared" si="46"/>
        <v>A</v>
      </c>
      <c r="AE152" s="145">
        <f t="shared" si="47"/>
        <v>267</v>
      </c>
      <c r="AF152" s="12" t="b">
        <f t="shared" si="49"/>
        <v>0</v>
      </c>
    </row>
    <row r="153" spans="1:32">
      <c r="A153" s="131" t="s">
        <v>561</v>
      </c>
      <c r="B153" s="131">
        <v>1857.4</v>
      </c>
      <c r="C153" s="131">
        <v>15</v>
      </c>
      <c r="D153" s="131">
        <v>288.7</v>
      </c>
      <c r="E153" s="131"/>
      <c r="F153" s="131">
        <v>6.5</v>
      </c>
      <c r="G153" s="131"/>
      <c r="H153" s="131">
        <v>867</v>
      </c>
      <c r="I153" s="131"/>
      <c r="J153" s="131">
        <v>101</v>
      </c>
      <c r="K153" s="131"/>
      <c r="L153" s="131">
        <v>344.5</v>
      </c>
      <c r="M153" s="131" t="s">
        <v>1</v>
      </c>
      <c r="N153" s="131"/>
      <c r="O153" s="131">
        <v>417</v>
      </c>
      <c r="P153" s="131">
        <v>494</v>
      </c>
      <c r="Q153" s="131">
        <v>0</v>
      </c>
      <c r="R153" s="131">
        <v>911</v>
      </c>
      <c r="S153" s="131"/>
      <c r="T153" s="131">
        <v>7.8</v>
      </c>
      <c r="U153" s="131">
        <v>0</v>
      </c>
      <c r="V153" s="131">
        <v>0</v>
      </c>
      <c r="W153" s="131">
        <v>0</v>
      </c>
      <c r="X153" s="131">
        <v>0</v>
      </c>
      <c r="Y153" s="132">
        <v>41715</v>
      </c>
      <c r="Z153" s="131"/>
      <c r="AA153" s="131"/>
      <c r="AB153" s="131" t="str">
        <f t="shared" si="48"/>
        <v/>
      </c>
      <c r="AC153" s="131">
        <f t="shared" si="45"/>
        <v>14</v>
      </c>
      <c r="AD153" s="143" t="str">
        <f t="shared" si="46"/>
        <v>A</v>
      </c>
      <c r="AE153" s="145">
        <f t="shared" si="47"/>
        <v>1849.6</v>
      </c>
      <c r="AF153" s="12" t="b">
        <f t="shared" si="49"/>
        <v>0</v>
      </c>
    </row>
    <row r="154" spans="1:32">
      <c r="A154" s="131" t="s">
        <v>569</v>
      </c>
      <c r="B154" s="131">
        <v>390.9</v>
      </c>
      <c r="C154" s="131">
        <v>3.5</v>
      </c>
      <c r="D154" s="131">
        <v>84.2</v>
      </c>
      <c r="E154" s="131"/>
      <c r="F154" s="131">
        <v>0</v>
      </c>
      <c r="G154" s="131"/>
      <c r="H154" s="131">
        <v>173</v>
      </c>
      <c r="I154" s="131"/>
      <c r="J154" s="131">
        <v>42</v>
      </c>
      <c r="K154" s="131"/>
      <c r="L154" s="131">
        <v>0</v>
      </c>
      <c r="M154" s="131" t="s">
        <v>1</v>
      </c>
      <c r="N154" s="131"/>
      <c r="O154" s="131">
        <v>235</v>
      </c>
      <c r="P154" s="131">
        <v>37</v>
      </c>
      <c r="Q154" s="131">
        <v>12</v>
      </c>
      <c r="R154" s="131">
        <v>284</v>
      </c>
      <c r="S154" s="131"/>
      <c r="T154" s="131">
        <v>0</v>
      </c>
      <c r="U154" s="131">
        <v>0</v>
      </c>
      <c r="V154" s="131">
        <v>0</v>
      </c>
      <c r="W154" s="131">
        <v>0</v>
      </c>
      <c r="X154" s="131">
        <v>0</v>
      </c>
      <c r="Y154" s="132">
        <v>41715</v>
      </c>
      <c r="Z154" s="131"/>
      <c r="AA154" s="131"/>
      <c r="AB154" s="131" t="str">
        <f t="shared" si="48"/>
        <v/>
      </c>
      <c r="AC154" s="131">
        <f t="shared" si="45"/>
        <v>14</v>
      </c>
      <c r="AD154" s="143" t="str">
        <f t="shared" si="46"/>
        <v>A</v>
      </c>
      <c r="AE154" s="145">
        <f t="shared" si="47"/>
        <v>390.9</v>
      </c>
      <c r="AF154" s="12" t="b">
        <f t="shared" si="49"/>
        <v>0</v>
      </c>
    </row>
    <row r="155" spans="1:32">
      <c r="A155" s="131" t="s">
        <v>315</v>
      </c>
      <c r="B155" s="131">
        <v>502.2</v>
      </c>
      <c r="C155" s="131">
        <v>0</v>
      </c>
      <c r="D155" s="131">
        <v>98</v>
      </c>
      <c r="E155" s="131"/>
      <c r="F155" s="131">
        <v>0</v>
      </c>
      <c r="G155" s="131"/>
      <c r="H155" s="131">
        <v>239</v>
      </c>
      <c r="I155" s="131"/>
      <c r="J155" s="131">
        <v>35</v>
      </c>
      <c r="K155" s="131"/>
      <c r="L155" s="131">
        <v>0</v>
      </c>
      <c r="M155" s="131" t="s">
        <v>1</v>
      </c>
      <c r="N155" s="131"/>
      <c r="O155" s="131">
        <v>276</v>
      </c>
      <c r="P155" s="131">
        <v>10</v>
      </c>
      <c r="Q155" s="131">
        <v>93</v>
      </c>
      <c r="R155" s="131">
        <v>379</v>
      </c>
      <c r="S155" s="131"/>
      <c r="T155" s="131">
        <v>0</v>
      </c>
      <c r="U155" s="131">
        <v>0</v>
      </c>
      <c r="V155" s="131">
        <v>0</v>
      </c>
      <c r="W155" s="131">
        <v>0</v>
      </c>
      <c r="X155" s="131">
        <v>0</v>
      </c>
      <c r="Y155" s="132">
        <v>41729</v>
      </c>
      <c r="Z155" s="131"/>
      <c r="AA155" s="131"/>
      <c r="AB155" s="131" t="str">
        <f t="shared" si="48"/>
        <v/>
      </c>
      <c r="AC155" s="131">
        <f t="shared" ref="AC155:AC157" si="53">IF(Y155=Y154,AC154,AC154+1)</f>
        <v>15</v>
      </c>
      <c r="AD155" s="143" t="str">
        <f t="shared" ref="AD155:AD157" si="54">IF(Z155="", "A", "AM")</f>
        <v>A</v>
      </c>
      <c r="AE155" s="145">
        <f t="shared" ref="AE155:AE157" si="55">B155-T155</f>
        <v>502.2</v>
      </c>
      <c r="AF155" s="12" t="b">
        <f t="shared" si="49"/>
        <v>0</v>
      </c>
    </row>
    <row r="156" spans="1:32">
      <c r="A156" s="131" t="s">
        <v>320</v>
      </c>
      <c r="B156" s="131">
        <v>1026.5999999999999</v>
      </c>
      <c r="C156" s="131">
        <v>23.5</v>
      </c>
      <c r="D156" s="131">
        <v>283.8</v>
      </c>
      <c r="E156" s="131"/>
      <c r="F156" s="131">
        <v>1792.6</v>
      </c>
      <c r="G156" s="131"/>
      <c r="H156" s="131">
        <v>512</v>
      </c>
      <c r="I156" s="131"/>
      <c r="J156" s="131">
        <v>144</v>
      </c>
      <c r="K156" s="131"/>
      <c r="L156" s="131">
        <v>0</v>
      </c>
      <c r="M156" s="131" t="s">
        <v>1</v>
      </c>
      <c r="N156" s="131"/>
      <c r="O156" s="131">
        <v>175</v>
      </c>
      <c r="P156" s="131">
        <v>12</v>
      </c>
      <c r="Q156" s="131">
        <v>6</v>
      </c>
      <c r="R156" s="131">
        <v>193</v>
      </c>
      <c r="S156" s="131"/>
      <c r="T156" s="131">
        <v>5.8</v>
      </c>
      <c r="U156" s="131">
        <v>0</v>
      </c>
      <c r="V156" s="131">
        <v>0</v>
      </c>
      <c r="W156" s="131">
        <v>0</v>
      </c>
      <c r="X156" s="131">
        <v>0</v>
      </c>
      <c r="Y156" s="132">
        <v>41729</v>
      </c>
      <c r="Z156" s="131"/>
      <c r="AA156" s="131"/>
      <c r="AB156" s="131" t="str">
        <f t="shared" si="48"/>
        <v/>
      </c>
      <c r="AC156" s="131">
        <f t="shared" si="53"/>
        <v>15</v>
      </c>
      <c r="AD156" s="143" t="str">
        <f t="shared" si="54"/>
        <v>A</v>
      </c>
      <c r="AE156" s="145">
        <f t="shared" si="55"/>
        <v>1020.8</v>
      </c>
      <c r="AF156" s="12" t="b">
        <f t="shared" si="49"/>
        <v>0</v>
      </c>
    </row>
    <row r="157" spans="1:32">
      <c r="A157" s="131" t="s">
        <v>323</v>
      </c>
      <c r="B157" s="131">
        <v>1640.5</v>
      </c>
      <c r="C157" s="131">
        <v>31</v>
      </c>
      <c r="D157" s="131">
        <v>238</v>
      </c>
      <c r="E157" s="131"/>
      <c r="F157" s="131">
        <v>1417.9</v>
      </c>
      <c r="G157" s="131"/>
      <c r="H157" s="131">
        <v>867</v>
      </c>
      <c r="I157" s="131"/>
      <c r="J157" s="131">
        <v>153</v>
      </c>
      <c r="K157" s="131"/>
      <c r="L157" s="131">
        <v>0</v>
      </c>
      <c r="M157" s="131" t="s">
        <v>1</v>
      </c>
      <c r="N157" s="131"/>
      <c r="O157" s="131">
        <v>237</v>
      </c>
      <c r="P157" s="131">
        <v>168</v>
      </c>
      <c r="Q157" s="131">
        <v>9</v>
      </c>
      <c r="R157" s="131">
        <v>414</v>
      </c>
      <c r="S157" s="131"/>
      <c r="T157" s="131">
        <v>0</v>
      </c>
      <c r="U157" s="131">
        <v>0</v>
      </c>
      <c r="V157" s="131">
        <v>0</v>
      </c>
      <c r="W157" s="131">
        <v>0</v>
      </c>
      <c r="X157" s="131">
        <v>1</v>
      </c>
      <c r="Y157" s="132">
        <v>41729</v>
      </c>
      <c r="Z157" s="131"/>
      <c r="AA157" s="131"/>
      <c r="AB157" s="131" t="str">
        <f t="shared" si="48"/>
        <v/>
      </c>
      <c r="AC157" s="131">
        <f t="shared" si="53"/>
        <v>15</v>
      </c>
      <c r="AD157" s="143" t="str">
        <f t="shared" si="54"/>
        <v>A</v>
      </c>
      <c r="AE157" s="145">
        <f t="shared" si="55"/>
        <v>1640.5</v>
      </c>
      <c r="AF157" s="12" t="b">
        <f t="shared" si="49"/>
        <v>0</v>
      </c>
    </row>
    <row r="158" spans="1:32">
      <c r="A158" s="131" t="s">
        <v>328</v>
      </c>
      <c r="B158" s="131">
        <v>249</v>
      </c>
      <c r="C158" s="131">
        <v>0</v>
      </c>
      <c r="D158" s="131">
        <v>0</v>
      </c>
      <c r="E158" s="131"/>
      <c r="F158" s="131">
        <v>0</v>
      </c>
      <c r="G158" s="131"/>
      <c r="H158" s="131">
        <v>103</v>
      </c>
      <c r="I158" s="131"/>
      <c r="J158" s="131">
        <v>32</v>
      </c>
      <c r="K158" s="131"/>
      <c r="L158" s="131">
        <v>0</v>
      </c>
      <c r="M158" s="131" t="s">
        <v>1</v>
      </c>
      <c r="N158" s="131"/>
      <c r="O158" s="131">
        <v>50</v>
      </c>
      <c r="P158" s="131">
        <v>16</v>
      </c>
      <c r="Q158" s="131">
        <v>72</v>
      </c>
      <c r="R158" s="131">
        <v>138</v>
      </c>
      <c r="S158" s="131"/>
      <c r="T158" s="131">
        <v>0</v>
      </c>
      <c r="U158" s="131">
        <v>0</v>
      </c>
      <c r="V158" s="131">
        <v>0</v>
      </c>
      <c r="W158" s="131">
        <v>0</v>
      </c>
      <c r="X158" s="131">
        <v>0</v>
      </c>
      <c r="Y158" s="132">
        <v>41729</v>
      </c>
      <c r="Z158" s="131"/>
      <c r="AA158" s="131"/>
      <c r="AB158" s="131" t="str">
        <f t="shared" si="48"/>
        <v/>
      </c>
      <c r="AC158" s="131">
        <f t="shared" ref="AC158:AC161" si="56">IF(Y158=Y157,AC157,AC157+1)</f>
        <v>15</v>
      </c>
      <c r="AD158" s="143" t="str">
        <f t="shared" ref="AD158:AD161" si="57">IF(Z158="", "A", "AM")</f>
        <v>A</v>
      </c>
      <c r="AE158" s="145">
        <f t="shared" ref="AE158:AE161" si="58">B158-T158</f>
        <v>249</v>
      </c>
      <c r="AF158" s="12" t="b">
        <f t="shared" si="49"/>
        <v>0</v>
      </c>
    </row>
    <row r="159" spans="1:32">
      <c r="A159" s="131" t="s">
        <v>329</v>
      </c>
      <c r="B159" s="131">
        <v>194.4</v>
      </c>
      <c r="C159" s="131">
        <v>1.5</v>
      </c>
      <c r="D159" s="131">
        <v>21.7</v>
      </c>
      <c r="E159" s="131"/>
      <c r="F159" s="131">
        <v>32.299999999999997</v>
      </c>
      <c r="G159" s="131"/>
      <c r="H159" s="131">
        <v>75</v>
      </c>
      <c r="I159" s="131"/>
      <c r="J159" s="131">
        <v>12</v>
      </c>
      <c r="K159" s="131"/>
      <c r="L159" s="131">
        <v>0</v>
      </c>
      <c r="M159" s="131" t="s">
        <v>1</v>
      </c>
      <c r="N159" s="131"/>
      <c r="O159" s="131">
        <v>45</v>
      </c>
      <c r="P159" s="131">
        <v>3</v>
      </c>
      <c r="Q159" s="131">
        <v>2</v>
      </c>
      <c r="R159" s="131">
        <v>50</v>
      </c>
      <c r="S159" s="131"/>
      <c r="T159" s="131">
        <v>0</v>
      </c>
      <c r="U159" s="131">
        <v>0</v>
      </c>
      <c r="V159" s="131">
        <v>0</v>
      </c>
      <c r="W159" s="131">
        <v>0</v>
      </c>
      <c r="X159" s="131">
        <v>0</v>
      </c>
      <c r="Y159" s="132">
        <v>41729</v>
      </c>
      <c r="Z159" s="131"/>
      <c r="AA159" s="131"/>
      <c r="AB159" s="131" t="str">
        <f t="shared" si="48"/>
        <v/>
      </c>
      <c r="AC159" s="131">
        <f t="shared" si="56"/>
        <v>15</v>
      </c>
      <c r="AD159" s="143" t="str">
        <f t="shared" si="57"/>
        <v>A</v>
      </c>
      <c r="AE159" s="145">
        <f t="shared" si="58"/>
        <v>194.4</v>
      </c>
      <c r="AF159" s="12" t="b">
        <f t="shared" si="49"/>
        <v>0</v>
      </c>
    </row>
    <row r="160" spans="1:32">
      <c r="A160" s="131" t="s">
        <v>332</v>
      </c>
      <c r="B160" s="131">
        <v>154</v>
      </c>
      <c r="C160" s="131">
        <v>2</v>
      </c>
      <c r="D160" s="131">
        <v>0</v>
      </c>
      <c r="E160" s="131"/>
      <c r="F160" s="131">
        <v>28.2</v>
      </c>
      <c r="G160" s="131"/>
      <c r="H160" s="131">
        <v>65</v>
      </c>
      <c r="I160" s="131"/>
      <c r="J160" s="131">
        <v>10</v>
      </c>
      <c r="K160" s="131"/>
      <c r="L160" s="131">
        <v>0</v>
      </c>
      <c r="M160" s="131" t="s">
        <v>1</v>
      </c>
      <c r="N160" s="131"/>
      <c r="O160" s="131">
        <v>30</v>
      </c>
      <c r="P160" s="131">
        <v>6</v>
      </c>
      <c r="Q160" s="131">
        <v>13</v>
      </c>
      <c r="R160" s="131">
        <v>49</v>
      </c>
      <c r="S160" s="131"/>
      <c r="T160" s="131">
        <v>0</v>
      </c>
      <c r="U160" s="131">
        <v>0</v>
      </c>
      <c r="V160" s="131">
        <v>0</v>
      </c>
      <c r="W160" s="131">
        <v>0</v>
      </c>
      <c r="X160" s="131">
        <v>0</v>
      </c>
      <c r="Y160" s="132">
        <v>41729</v>
      </c>
      <c r="Z160" s="131"/>
      <c r="AA160" s="131"/>
      <c r="AB160" s="131" t="str">
        <f t="shared" si="48"/>
        <v/>
      </c>
      <c r="AC160" s="131">
        <f t="shared" si="56"/>
        <v>15</v>
      </c>
      <c r="AD160" s="143" t="str">
        <f t="shared" si="57"/>
        <v>A</v>
      </c>
      <c r="AE160" s="145">
        <f t="shared" si="58"/>
        <v>154</v>
      </c>
      <c r="AF160" s="12" t="b">
        <f t="shared" si="49"/>
        <v>0</v>
      </c>
    </row>
    <row r="161" spans="1:32">
      <c r="A161" s="131" t="s">
        <v>333</v>
      </c>
      <c r="B161" s="131">
        <v>406.1</v>
      </c>
      <c r="C161" s="131">
        <v>3</v>
      </c>
      <c r="D161" s="131">
        <v>67.5</v>
      </c>
      <c r="E161" s="131"/>
      <c r="F161" s="131">
        <v>31.6</v>
      </c>
      <c r="G161" s="131"/>
      <c r="H161" s="131">
        <v>142</v>
      </c>
      <c r="I161" s="131"/>
      <c r="J161" s="131">
        <v>24</v>
      </c>
      <c r="K161" s="131"/>
      <c r="L161" s="131">
        <v>0</v>
      </c>
      <c r="M161" s="131" t="s">
        <v>1</v>
      </c>
      <c r="N161" s="131"/>
      <c r="O161" s="131">
        <v>69.5</v>
      </c>
      <c r="P161" s="131">
        <v>14</v>
      </c>
      <c r="Q161" s="131">
        <v>11</v>
      </c>
      <c r="R161" s="131">
        <v>94.5</v>
      </c>
      <c r="S161" s="131"/>
      <c r="T161" s="131">
        <v>0</v>
      </c>
      <c r="U161" s="131">
        <v>0</v>
      </c>
      <c r="V161" s="131">
        <v>0</v>
      </c>
      <c r="W161" s="131">
        <v>0</v>
      </c>
      <c r="X161" s="131">
        <v>0</v>
      </c>
      <c r="Y161" s="132">
        <v>41729</v>
      </c>
      <c r="Z161" s="131"/>
      <c r="AA161" s="131"/>
      <c r="AB161" s="131" t="str">
        <f t="shared" si="48"/>
        <v/>
      </c>
      <c r="AC161" s="131">
        <f t="shared" si="56"/>
        <v>15</v>
      </c>
      <c r="AD161" s="143" t="str">
        <f t="shared" si="57"/>
        <v>A</v>
      </c>
      <c r="AE161" s="145">
        <f t="shared" si="58"/>
        <v>406.1</v>
      </c>
      <c r="AF161" s="12" t="b">
        <f t="shared" si="49"/>
        <v>0</v>
      </c>
    </row>
    <row r="162" spans="1:32">
      <c r="A162" s="131" t="s">
        <v>338</v>
      </c>
      <c r="B162" s="131">
        <v>6695.3</v>
      </c>
      <c r="C162" s="131">
        <v>11.5</v>
      </c>
      <c r="D162" s="131">
        <v>1706.2</v>
      </c>
      <c r="E162" s="131"/>
      <c r="F162" s="131">
        <v>933</v>
      </c>
      <c r="G162" s="131"/>
      <c r="H162" s="131">
        <v>767</v>
      </c>
      <c r="I162" s="131"/>
      <c r="J162" s="131">
        <v>292</v>
      </c>
      <c r="K162" s="131"/>
      <c r="L162" s="131">
        <v>106.2</v>
      </c>
      <c r="M162" s="131" t="s">
        <v>1</v>
      </c>
      <c r="N162" s="131"/>
      <c r="O162" s="131">
        <v>1802</v>
      </c>
      <c r="P162" s="131">
        <v>737</v>
      </c>
      <c r="Q162" s="131">
        <v>0</v>
      </c>
      <c r="R162" s="131">
        <v>2539</v>
      </c>
      <c r="S162" s="131"/>
      <c r="T162" s="131">
        <v>0</v>
      </c>
      <c r="U162" s="131">
        <v>0</v>
      </c>
      <c r="V162" s="131">
        <v>0</v>
      </c>
      <c r="W162" s="131">
        <v>0</v>
      </c>
      <c r="X162" s="131">
        <v>0</v>
      </c>
      <c r="Y162" s="132">
        <v>41729</v>
      </c>
      <c r="Z162" s="131"/>
      <c r="AA162" s="131"/>
      <c r="AB162" s="131" t="str">
        <f t="shared" si="48"/>
        <v/>
      </c>
      <c r="AC162" s="131">
        <f t="shared" ref="AC162:AC191" si="59">IF(Y162=Y161,AC161,AC161+1)</f>
        <v>15</v>
      </c>
      <c r="AD162" s="143" t="str">
        <f t="shared" ref="AD162:AD191" si="60">IF(Z162="", "A", "AM")</f>
        <v>A</v>
      </c>
      <c r="AE162" s="145">
        <f t="shared" ref="AE162:AE191" si="61">B162-T162</f>
        <v>6695.3</v>
      </c>
      <c r="AF162" s="12" t="b">
        <f t="shared" si="49"/>
        <v>0</v>
      </c>
    </row>
    <row r="163" spans="1:32">
      <c r="A163" s="131" t="s">
        <v>365</v>
      </c>
      <c r="B163" s="131">
        <v>5013.5</v>
      </c>
      <c r="C163" s="131">
        <v>74.5</v>
      </c>
      <c r="D163" s="131">
        <v>829.3</v>
      </c>
      <c r="E163" s="131"/>
      <c r="F163" s="131">
        <v>254.5</v>
      </c>
      <c r="G163" s="131"/>
      <c r="H163" s="131">
        <v>2499</v>
      </c>
      <c r="I163" s="131"/>
      <c r="J163" s="131">
        <v>238</v>
      </c>
      <c r="K163" s="131"/>
      <c r="L163" s="131">
        <v>0</v>
      </c>
      <c r="M163" s="131" t="s">
        <v>1</v>
      </c>
      <c r="N163" s="131"/>
      <c r="O163" s="131">
        <v>1762</v>
      </c>
      <c r="P163" s="131">
        <v>3</v>
      </c>
      <c r="Q163" s="131">
        <v>6</v>
      </c>
      <c r="R163" s="131">
        <v>1771</v>
      </c>
      <c r="S163" s="131"/>
      <c r="T163" s="131">
        <v>0</v>
      </c>
      <c r="U163" s="131">
        <v>0</v>
      </c>
      <c r="V163" s="131">
        <v>0</v>
      </c>
      <c r="W163" s="131">
        <v>0</v>
      </c>
      <c r="X163" s="131">
        <v>0</v>
      </c>
      <c r="Y163" s="132">
        <v>41729</v>
      </c>
      <c r="Z163" s="131"/>
      <c r="AA163" s="131"/>
      <c r="AB163" s="131" t="str">
        <f t="shared" si="48"/>
        <v/>
      </c>
      <c r="AC163" s="131">
        <f t="shared" si="59"/>
        <v>15</v>
      </c>
      <c r="AD163" s="143" t="str">
        <f t="shared" si="60"/>
        <v>A</v>
      </c>
      <c r="AE163" s="145">
        <f t="shared" si="61"/>
        <v>5013.5</v>
      </c>
      <c r="AF163" s="12" t="b">
        <f t="shared" si="49"/>
        <v>0</v>
      </c>
    </row>
    <row r="164" spans="1:32">
      <c r="A164" s="131" t="s">
        <v>367</v>
      </c>
      <c r="B164" s="131">
        <v>1741.6</v>
      </c>
      <c r="C164" s="131">
        <v>15</v>
      </c>
      <c r="D164" s="131">
        <v>433.1</v>
      </c>
      <c r="E164" s="131"/>
      <c r="F164" s="131">
        <v>5.8</v>
      </c>
      <c r="G164" s="131"/>
      <c r="H164" s="131">
        <v>504</v>
      </c>
      <c r="I164" s="131"/>
      <c r="J164" s="131">
        <v>130</v>
      </c>
      <c r="K164" s="131"/>
      <c r="L164" s="131">
        <v>34.1</v>
      </c>
      <c r="M164" s="131" t="s">
        <v>1</v>
      </c>
      <c r="N164" s="131"/>
      <c r="O164" s="131">
        <v>429</v>
      </c>
      <c r="P164" s="131">
        <v>43</v>
      </c>
      <c r="Q164" s="131">
        <v>1</v>
      </c>
      <c r="R164" s="131">
        <v>473</v>
      </c>
      <c r="S164" s="131"/>
      <c r="T164" s="131">
        <v>0</v>
      </c>
      <c r="U164" s="131">
        <v>0</v>
      </c>
      <c r="V164" s="131">
        <v>0</v>
      </c>
      <c r="W164" s="131">
        <v>0</v>
      </c>
      <c r="X164" s="131">
        <v>0</v>
      </c>
      <c r="Y164" s="132">
        <v>41729</v>
      </c>
      <c r="Z164" s="131"/>
      <c r="AA164" s="131"/>
      <c r="AB164" s="131" t="str">
        <f t="shared" si="48"/>
        <v/>
      </c>
      <c r="AC164" s="131">
        <f t="shared" si="59"/>
        <v>15</v>
      </c>
      <c r="AD164" s="143" t="str">
        <f t="shared" si="60"/>
        <v>A</v>
      </c>
      <c r="AE164" s="145">
        <f t="shared" si="61"/>
        <v>1741.6</v>
      </c>
      <c r="AF164" s="12" t="b">
        <f t="shared" si="49"/>
        <v>0</v>
      </c>
    </row>
    <row r="165" spans="1:32">
      <c r="A165" s="131" t="s">
        <v>378</v>
      </c>
      <c r="B165" s="131">
        <v>375.2</v>
      </c>
      <c r="C165" s="131">
        <v>0</v>
      </c>
      <c r="D165" s="131">
        <v>129.5</v>
      </c>
      <c r="E165" s="131"/>
      <c r="F165" s="131">
        <v>0</v>
      </c>
      <c r="G165" s="131"/>
      <c r="H165" s="131">
        <v>136</v>
      </c>
      <c r="I165" s="131"/>
      <c r="J165" s="131">
        <v>31</v>
      </c>
      <c r="K165" s="131"/>
      <c r="L165" s="131">
        <v>0</v>
      </c>
      <c r="M165" s="131" t="s">
        <v>1</v>
      </c>
      <c r="N165" s="131"/>
      <c r="O165" s="131">
        <v>75.7</v>
      </c>
      <c r="P165" s="131">
        <v>15.2</v>
      </c>
      <c r="Q165" s="131">
        <v>16</v>
      </c>
      <c r="R165" s="131">
        <v>106.9</v>
      </c>
      <c r="S165" s="131"/>
      <c r="T165" s="131">
        <v>0</v>
      </c>
      <c r="U165" s="131">
        <v>0</v>
      </c>
      <c r="V165" s="131">
        <v>0</v>
      </c>
      <c r="W165" s="131">
        <v>0</v>
      </c>
      <c r="X165" s="131">
        <v>0</v>
      </c>
      <c r="Y165" s="132">
        <v>41729</v>
      </c>
      <c r="Z165" s="131"/>
      <c r="AA165" s="131"/>
      <c r="AB165" s="131" t="str">
        <f t="shared" si="48"/>
        <v/>
      </c>
      <c r="AC165" s="131">
        <f t="shared" si="59"/>
        <v>15</v>
      </c>
      <c r="AD165" s="143" t="str">
        <f t="shared" si="60"/>
        <v>A</v>
      </c>
      <c r="AE165" s="145">
        <f t="shared" si="61"/>
        <v>375.2</v>
      </c>
      <c r="AF165" s="12" t="b">
        <f t="shared" si="49"/>
        <v>0</v>
      </c>
    </row>
    <row r="166" spans="1:32">
      <c r="A166" s="131" t="s">
        <v>395</v>
      </c>
      <c r="B166" s="131">
        <v>340.5</v>
      </c>
      <c r="C166" s="131">
        <v>6.5</v>
      </c>
      <c r="D166" s="131">
        <v>50.8</v>
      </c>
      <c r="E166" s="131"/>
      <c r="F166" s="131">
        <v>7.3</v>
      </c>
      <c r="G166" s="131"/>
      <c r="H166" s="131">
        <v>149</v>
      </c>
      <c r="I166" s="131"/>
      <c r="J166" s="131">
        <v>23</v>
      </c>
      <c r="K166" s="131"/>
      <c r="L166" s="131">
        <v>0</v>
      </c>
      <c r="M166" s="131" t="s">
        <v>1</v>
      </c>
      <c r="N166" s="131"/>
      <c r="O166" s="131">
        <v>117.5</v>
      </c>
      <c r="P166" s="131">
        <v>0</v>
      </c>
      <c r="Q166" s="131">
        <v>10</v>
      </c>
      <c r="R166" s="131">
        <v>127.5</v>
      </c>
      <c r="S166" s="131"/>
      <c r="T166" s="131">
        <v>0</v>
      </c>
      <c r="U166" s="131">
        <v>0</v>
      </c>
      <c r="V166" s="131">
        <v>0</v>
      </c>
      <c r="W166" s="131">
        <v>0</v>
      </c>
      <c r="X166" s="131">
        <v>0</v>
      </c>
      <c r="Y166" s="132">
        <v>41729</v>
      </c>
      <c r="Z166" s="131"/>
      <c r="AA166" s="131"/>
      <c r="AB166" s="131" t="str">
        <f t="shared" si="48"/>
        <v/>
      </c>
      <c r="AC166" s="131">
        <f t="shared" si="59"/>
        <v>15</v>
      </c>
      <c r="AD166" s="143" t="str">
        <f t="shared" si="60"/>
        <v>A</v>
      </c>
      <c r="AE166" s="145">
        <f t="shared" si="61"/>
        <v>340.5</v>
      </c>
      <c r="AF166" s="12" t="b">
        <f t="shared" si="49"/>
        <v>0</v>
      </c>
    </row>
    <row r="167" spans="1:32">
      <c r="A167" s="131" t="s">
        <v>397</v>
      </c>
      <c r="B167" s="131">
        <v>324.5</v>
      </c>
      <c r="C167" s="131">
        <v>0</v>
      </c>
      <c r="D167" s="131">
        <v>55.2</v>
      </c>
      <c r="E167" s="131"/>
      <c r="F167" s="131">
        <v>0</v>
      </c>
      <c r="G167" s="131"/>
      <c r="H167" s="131">
        <v>81</v>
      </c>
      <c r="I167" s="131"/>
      <c r="J167" s="131">
        <v>26</v>
      </c>
      <c r="K167" s="131"/>
      <c r="L167" s="131">
        <v>0</v>
      </c>
      <c r="M167" s="131" t="s">
        <v>1</v>
      </c>
      <c r="N167" s="131"/>
      <c r="O167" s="131">
        <v>207</v>
      </c>
      <c r="P167" s="131">
        <v>0</v>
      </c>
      <c r="Q167" s="131">
        <v>2</v>
      </c>
      <c r="R167" s="131">
        <v>209</v>
      </c>
      <c r="S167" s="131"/>
      <c r="T167" s="131">
        <v>0</v>
      </c>
      <c r="U167" s="131">
        <v>0</v>
      </c>
      <c r="V167" s="131">
        <v>0</v>
      </c>
      <c r="W167" s="131">
        <v>0</v>
      </c>
      <c r="X167" s="131">
        <v>1</v>
      </c>
      <c r="Y167" s="132">
        <v>41729</v>
      </c>
      <c r="Z167" s="131"/>
      <c r="AA167" s="131"/>
      <c r="AB167" s="131" t="str">
        <f t="shared" si="48"/>
        <v/>
      </c>
      <c r="AC167" s="131">
        <f t="shared" si="59"/>
        <v>15</v>
      </c>
      <c r="AD167" s="143" t="str">
        <f t="shared" si="60"/>
        <v>A</v>
      </c>
      <c r="AE167" s="145">
        <f t="shared" si="61"/>
        <v>324.5</v>
      </c>
      <c r="AF167" s="12" t="b">
        <f t="shared" si="49"/>
        <v>0</v>
      </c>
    </row>
    <row r="168" spans="1:32">
      <c r="A168" s="131" t="s">
        <v>399</v>
      </c>
      <c r="B168" s="131">
        <v>6894.1</v>
      </c>
      <c r="C168" s="131">
        <v>30</v>
      </c>
      <c r="D168" s="131">
        <v>688.8</v>
      </c>
      <c r="E168" s="131"/>
      <c r="F168" s="131">
        <v>1500</v>
      </c>
      <c r="G168" s="131"/>
      <c r="H168" s="131">
        <v>3602</v>
      </c>
      <c r="I168" s="131"/>
      <c r="J168" s="131">
        <v>496</v>
      </c>
      <c r="K168" s="131"/>
      <c r="L168" s="131">
        <v>0</v>
      </c>
      <c r="M168" s="131" t="s">
        <v>1</v>
      </c>
      <c r="N168" s="131"/>
      <c r="O168" s="131">
        <v>954.5</v>
      </c>
      <c r="P168" s="131">
        <v>66</v>
      </c>
      <c r="Q168" s="131">
        <v>6</v>
      </c>
      <c r="R168" s="131">
        <v>1026.5</v>
      </c>
      <c r="S168" s="131"/>
      <c r="T168" s="131">
        <v>0</v>
      </c>
      <c r="U168" s="131">
        <v>0</v>
      </c>
      <c r="V168" s="131">
        <v>0</v>
      </c>
      <c r="W168" s="131">
        <v>0</v>
      </c>
      <c r="X168" s="131">
        <v>1</v>
      </c>
      <c r="Y168" s="132">
        <v>41729</v>
      </c>
      <c r="Z168" s="131"/>
      <c r="AA168" s="131"/>
      <c r="AB168" s="131" t="str">
        <f t="shared" si="48"/>
        <v/>
      </c>
      <c r="AC168" s="131">
        <f t="shared" si="59"/>
        <v>15</v>
      </c>
      <c r="AD168" s="143" t="str">
        <f t="shared" si="60"/>
        <v>A</v>
      </c>
      <c r="AE168" s="145">
        <f t="shared" si="61"/>
        <v>6894.1</v>
      </c>
      <c r="AF168" s="12" t="b">
        <f t="shared" si="49"/>
        <v>0</v>
      </c>
    </row>
    <row r="169" spans="1:32">
      <c r="A169" s="131" t="s">
        <v>409</v>
      </c>
      <c r="B169" s="131">
        <v>920</v>
      </c>
      <c r="C169" s="131">
        <v>0</v>
      </c>
      <c r="D169" s="131">
        <v>318.3</v>
      </c>
      <c r="E169" s="131"/>
      <c r="F169" s="131">
        <v>71.7</v>
      </c>
      <c r="G169" s="131"/>
      <c r="H169" s="131">
        <v>280</v>
      </c>
      <c r="I169" s="131"/>
      <c r="J169" s="131">
        <v>100</v>
      </c>
      <c r="K169" s="131"/>
      <c r="L169" s="131">
        <v>0</v>
      </c>
      <c r="M169" s="131" t="s">
        <v>1</v>
      </c>
      <c r="N169" s="131"/>
      <c r="O169" s="131">
        <v>193</v>
      </c>
      <c r="P169" s="131">
        <v>0</v>
      </c>
      <c r="Q169" s="131">
        <v>31</v>
      </c>
      <c r="R169" s="131">
        <v>224</v>
      </c>
      <c r="S169" s="131"/>
      <c r="T169" s="131">
        <v>5.5</v>
      </c>
      <c r="U169" s="131">
        <v>0</v>
      </c>
      <c r="V169" s="131">
        <v>0</v>
      </c>
      <c r="W169" s="131">
        <v>0</v>
      </c>
      <c r="X169" s="131">
        <v>0</v>
      </c>
      <c r="Y169" s="132">
        <v>41729</v>
      </c>
      <c r="Z169" s="131"/>
      <c r="AA169" s="131"/>
      <c r="AB169" s="131" t="str">
        <f t="shared" si="48"/>
        <v/>
      </c>
      <c r="AC169" s="131">
        <f t="shared" si="59"/>
        <v>15</v>
      </c>
      <c r="AD169" s="143" t="str">
        <f t="shared" si="60"/>
        <v>A</v>
      </c>
      <c r="AE169" s="145">
        <f t="shared" si="61"/>
        <v>914.5</v>
      </c>
      <c r="AF169" s="12" t="b">
        <f t="shared" si="49"/>
        <v>0</v>
      </c>
    </row>
    <row r="170" spans="1:32">
      <c r="A170" s="131" t="s">
        <v>411</v>
      </c>
      <c r="B170" s="131">
        <v>1464.6</v>
      </c>
      <c r="C170" s="131">
        <v>0</v>
      </c>
      <c r="D170" s="131">
        <v>325</v>
      </c>
      <c r="E170" s="131"/>
      <c r="F170" s="131">
        <v>20.8</v>
      </c>
      <c r="G170" s="131"/>
      <c r="H170" s="131">
        <v>369</v>
      </c>
      <c r="I170" s="131"/>
      <c r="J170" s="131">
        <v>86</v>
      </c>
      <c r="K170" s="131"/>
      <c r="L170" s="131">
        <v>0</v>
      </c>
      <c r="M170" s="131" t="s">
        <v>1</v>
      </c>
      <c r="N170" s="131"/>
      <c r="O170" s="131">
        <v>409</v>
      </c>
      <c r="P170" s="131">
        <v>174</v>
      </c>
      <c r="Q170" s="131">
        <v>50</v>
      </c>
      <c r="R170" s="131">
        <v>633</v>
      </c>
      <c r="S170" s="131"/>
      <c r="T170" s="131">
        <v>0</v>
      </c>
      <c r="U170" s="131">
        <v>0</v>
      </c>
      <c r="V170" s="131">
        <v>0</v>
      </c>
      <c r="W170" s="131">
        <v>0</v>
      </c>
      <c r="X170" s="131">
        <v>1</v>
      </c>
      <c r="Y170" s="132">
        <v>41729</v>
      </c>
      <c r="Z170" s="131"/>
      <c r="AA170" s="131"/>
      <c r="AB170" s="131" t="str">
        <f t="shared" si="48"/>
        <v/>
      </c>
      <c r="AC170" s="131">
        <f t="shared" si="59"/>
        <v>15</v>
      </c>
      <c r="AD170" s="143" t="str">
        <f t="shared" si="60"/>
        <v>A</v>
      </c>
      <c r="AE170" s="145">
        <f t="shared" si="61"/>
        <v>1464.6</v>
      </c>
      <c r="AF170" s="12" t="b">
        <f t="shared" si="49"/>
        <v>0</v>
      </c>
    </row>
    <row r="171" spans="1:32">
      <c r="A171" s="131" t="s">
        <v>414</v>
      </c>
      <c r="B171" s="131">
        <v>854.9</v>
      </c>
      <c r="C171" s="131">
        <v>0</v>
      </c>
      <c r="D171" s="131">
        <v>123.4</v>
      </c>
      <c r="E171" s="131"/>
      <c r="F171" s="131">
        <v>0</v>
      </c>
      <c r="G171" s="131"/>
      <c r="H171" s="131">
        <v>202</v>
      </c>
      <c r="I171" s="131"/>
      <c r="J171" s="131">
        <v>35</v>
      </c>
      <c r="K171" s="131"/>
      <c r="L171" s="131">
        <v>0</v>
      </c>
      <c r="M171" s="131" t="s">
        <v>1</v>
      </c>
      <c r="N171" s="131"/>
      <c r="O171" s="131">
        <v>548.5</v>
      </c>
      <c r="P171" s="131">
        <v>95.6</v>
      </c>
      <c r="Q171" s="131">
        <v>11</v>
      </c>
      <c r="R171" s="131">
        <v>655.1</v>
      </c>
      <c r="S171" s="131"/>
      <c r="T171" s="131">
        <v>0</v>
      </c>
      <c r="U171" s="131">
        <v>0</v>
      </c>
      <c r="V171" s="131">
        <v>0</v>
      </c>
      <c r="W171" s="131">
        <v>0</v>
      </c>
      <c r="X171" s="131">
        <v>0</v>
      </c>
      <c r="Y171" s="132">
        <v>41729</v>
      </c>
      <c r="Z171" s="131"/>
      <c r="AA171" s="131"/>
      <c r="AB171" s="131" t="str">
        <f t="shared" si="48"/>
        <v/>
      </c>
      <c r="AC171" s="131">
        <f t="shared" si="59"/>
        <v>15</v>
      </c>
      <c r="AD171" s="143" t="str">
        <f t="shared" si="60"/>
        <v>A</v>
      </c>
      <c r="AE171" s="145">
        <f t="shared" si="61"/>
        <v>854.9</v>
      </c>
      <c r="AF171" s="12" t="b">
        <f t="shared" si="49"/>
        <v>0</v>
      </c>
    </row>
    <row r="172" spans="1:32">
      <c r="A172" s="131" t="s">
        <v>417</v>
      </c>
      <c r="B172" s="131">
        <v>581.5</v>
      </c>
      <c r="C172" s="131">
        <v>0</v>
      </c>
      <c r="D172" s="131">
        <v>103</v>
      </c>
      <c r="E172" s="131"/>
      <c r="F172" s="131">
        <v>3.8</v>
      </c>
      <c r="G172" s="131"/>
      <c r="H172" s="131">
        <v>177</v>
      </c>
      <c r="I172" s="131"/>
      <c r="J172" s="131">
        <v>57</v>
      </c>
      <c r="K172" s="131"/>
      <c r="L172" s="131">
        <v>0</v>
      </c>
      <c r="M172" s="131" t="s">
        <v>1</v>
      </c>
      <c r="N172" s="131"/>
      <c r="O172" s="131">
        <v>217</v>
      </c>
      <c r="P172" s="131">
        <v>0</v>
      </c>
      <c r="Q172" s="131">
        <v>0</v>
      </c>
      <c r="R172" s="131">
        <v>217</v>
      </c>
      <c r="S172" s="131"/>
      <c r="T172" s="131">
        <v>0</v>
      </c>
      <c r="U172" s="131">
        <v>0</v>
      </c>
      <c r="V172" s="131">
        <v>0</v>
      </c>
      <c r="W172" s="131">
        <v>0</v>
      </c>
      <c r="X172" s="131">
        <v>0</v>
      </c>
      <c r="Y172" s="132">
        <v>41729</v>
      </c>
      <c r="Z172" s="131"/>
      <c r="AA172" s="131"/>
      <c r="AB172" s="131" t="str">
        <f t="shared" si="48"/>
        <v/>
      </c>
      <c r="AC172" s="131">
        <f t="shared" si="59"/>
        <v>15</v>
      </c>
      <c r="AD172" s="143" t="str">
        <f t="shared" si="60"/>
        <v>A</v>
      </c>
      <c r="AE172" s="145">
        <f t="shared" si="61"/>
        <v>581.5</v>
      </c>
      <c r="AF172" s="12" t="b">
        <f t="shared" si="49"/>
        <v>0</v>
      </c>
    </row>
    <row r="173" spans="1:32">
      <c r="A173" s="131" t="s">
        <v>451</v>
      </c>
      <c r="B173" s="131">
        <v>920.1</v>
      </c>
      <c r="C173" s="131">
        <v>12</v>
      </c>
      <c r="D173" s="131">
        <v>138.1</v>
      </c>
      <c r="E173" s="131"/>
      <c r="F173" s="131">
        <v>660.5</v>
      </c>
      <c r="G173" s="131"/>
      <c r="H173" s="131">
        <v>415</v>
      </c>
      <c r="I173" s="131"/>
      <c r="J173" s="131">
        <v>56</v>
      </c>
      <c r="K173" s="131"/>
      <c r="L173" s="131">
        <v>0</v>
      </c>
      <c r="M173" s="131" t="s">
        <v>1</v>
      </c>
      <c r="N173" s="131"/>
      <c r="O173" s="131">
        <v>106</v>
      </c>
      <c r="P173" s="131">
        <v>609.5</v>
      </c>
      <c r="Q173" s="131">
        <v>17</v>
      </c>
      <c r="R173" s="131">
        <v>732.5</v>
      </c>
      <c r="S173" s="131"/>
      <c r="T173" s="131">
        <v>6.7</v>
      </c>
      <c r="U173" s="131">
        <v>0</v>
      </c>
      <c r="V173" s="131">
        <v>0</v>
      </c>
      <c r="W173" s="131">
        <v>0</v>
      </c>
      <c r="X173" s="131">
        <v>0</v>
      </c>
      <c r="Y173" s="132">
        <v>41729</v>
      </c>
      <c r="Z173" s="131"/>
      <c r="AA173" s="131"/>
      <c r="AB173" s="131" t="str">
        <f t="shared" si="48"/>
        <v/>
      </c>
      <c r="AC173" s="131">
        <f t="shared" si="59"/>
        <v>15</v>
      </c>
      <c r="AD173" s="143" t="str">
        <f t="shared" si="60"/>
        <v>A</v>
      </c>
      <c r="AE173" s="145">
        <f t="shared" si="61"/>
        <v>913.4</v>
      </c>
      <c r="AF173" s="12" t="b">
        <f t="shared" si="49"/>
        <v>0</v>
      </c>
    </row>
    <row r="174" spans="1:32">
      <c r="A174" s="131" t="s">
        <v>464</v>
      </c>
      <c r="B174" s="131">
        <v>582</v>
      </c>
      <c r="C174" s="131">
        <v>6</v>
      </c>
      <c r="D174" s="131">
        <v>71.900000000000006</v>
      </c>
      <c r="E174" s="131"/>
      <c r="F174" s="131">
        <v>0</v>
      </c>
      <c r="G174" s="131"/>
      <c r="H174" s="131">
        <v>259</v>
      </c>
      <c r="I174" s="131"/>
      <c r="J174" s="131">
        <v>69</v>
      </c>
      <c r="K174" s="131"/>
      <c r="L174" s="131">
        <v>0</v>
      </c>
      <c r="M174" s="131" t="s">
        <v>1</v>
      </c>
      <c r="N174" s="131"/>
      <c r="O174" s="131">
        <v>389</v>
      </c>
      <c r="P174" s="131">
        <v>14</v>
      </c>
      <c r="Q174" s="131">
        <v>88</v>
      </c>
      <c r="R174" s="131">
        <v>491</v>
      </c>
      <c r="S174" s="131"/>
      <c r="T174" s="131">
        <v>2</v>
      </c>
      <c r="U174" s="131">
        <v>0</v>
      </c>
      <c r="V174" s="131">
        <v>0</v>
      </c>
      <c r="W174" s="131">
        <v>0</v>
      </c>
      <c r="X174" s="131">
        <v>0</v>
      </c>
      <c r="Y174" s="132">
        <v>41729</v>
      </c>
      <c r="Z174" s="131"/>
      <c r="AA174" s="131"/>
      <c r="AB174" s="131" t="str">
        <f t="shared" si="48"/>
        <v/>
      </c>
      <c r="AC174" s="131">
        <f t="shared" si="59"/>
        <v>15</v>
      </c>
      <c r="AD174" s="143" t="str">
        <f t="shared" si="60"/>
        <v>A</v>
      </c>
      <c r="AE174" s="145">
        <f t="shared" si="61"/>
        <v>580</v>
      </c>
      <c r="AF174" s="12" t="b">
        <f t="shared" si="49"/>
        <v>0</v>
      </c>
    </row>
    <row r="175" spans="1:32">
      <c r="A175" s="131" t="s">
        <v>478</v>
      </c>
      <c r="B175" s="131">
        <v>285.60000000000002</v>
      </c>
      <c r="C175" s="131">
        <v>0</v>
      </c>
      <c r="D175" s="131">
        <v>47.6</v>
      </c>
      <c r="E175" s="131"/>
      <c r="F175" s="131">
        <v>0</v>
      </c>
      <c r="G175" s="131"/>
      <c r="H175" s="131">
        <v>151</v>
      </c>
      <c r="I175" s="131"/>
      <c r="J175" s="131">
        <v>13</v>
      </c>
      <c r="K175" s="131"/>
      <c r="L175" s="131">
        <v>0</v>
      </c>
      <c r="M175" s="131" t="s">
        <v>1</v>
      </c>
      <c r="N175" s="131"/>
      <c r="O175" s="131">
        <v>87.5</v>
      </c>
      <c r="P175" s="131">
        <v>7</v>
      </c>
      <c r="Q175" s="131">
        <v>1</v>
      </c>
      <c r="R175" s="131">
        <v>95.5</v>
      </c>
      <c r="S175" s="131"/>
      <c r="T175" s="131">
        <v>0</v>
      </c>
      <c r="U175" s="131">
        <v>0</v>
      </c>
      <c r="V175" s="131">
        <v>0</v>
      </c>
      <c r="W175" s="131">
        <v>0</v>
      </c>
      <c r="X175" s="131">
        <v>0</v>
      </c>
      <c r="Y175" s="132">
        <v>41729</v>
      </c>
      <c r="Z175" s="131"/>
      <c r="AA175" s="131"/>
      <c r="AB175" s="131" t="str">
        <f t="shared" si="48"/>
        <v/>
      </c>
      <c r="AC175" s="131">
        <f t="shared" si="59"/>
        <v>15</v>
      </c>
      <c r="AD175" s="143" t="str">
        <f t="shared" si="60"/>
        <v>A</v>
      </c>
      <c r="AE175" s="145">
        <f t="shared" si="61"/>
        <v>285.60000000000002</v>
      </c>
      <c r="AF175" s="12" t="b">
        <f t="shared" si="49"/>
        <v>0</v>
      </c>
    </row>
    <row r="176" spans="1:32">
      <c r="A176" s="131" t="s">
        <v>491</v>
      </c>
      <c r="B176" s="131">
        <v>757.5</v>
      </c>
      <c r="C176" s="131">
        <v>16</v>
      </c>
      <c r="D176" s="131">
        <v>113.1</v>
      </c>
      <c r="E176" s="131"/>
      <c r="F176" s="131">
        <v>555.6</v>
      </c>
      <c r="G176" s="131"/>
      <c r="H176" s="131">
        <v>475</v>
      </c>
      <c r="I176" s="131"/>
      <c r="J176" s="131">
        <v>23</v>
      </c>
      <c r="K176" s="131"/>
      <c r="L176" s="131">
        <v>0</v>
      </c>
      <c r="M176" s="131" t="s">
        <v>1</v>
      </c>
      <c r="N176" s="131"/>
      <c r="O176" s="131">
        <v>39</v>
      </c>
      <c r="P176" s="131">
        <v>0</v>
      </c>
      <c r="Q176" s="131">
        <v>0</v>
      </c>
      <c r="R176" s="131">
        <v>39</v>
      </c>
      <c r="S176" s="131"/>
      <c r="T176" s="131">
        <v>30</v>
      </c>
      <c r="U176" s="131">
        <v>0</v>
      </c>
      <c r="V176" s="131">
        <v>0</v>
      </c>
      <c r="W176" s="131">
        <v>0</v>
      </c>
      <c r="X176" s="131">
        <v>2</v>
      </c>
      <c r="Y176" s="132">
        <v>41729</v>
      </c>
      <c r="Z176" s="131"/>
      <c r="AA176" s="131"/>
      <c r="AB176" s="131" t="str">
        <f t="shared" si="48"/>
        <v/>
      </c>
      <c r="AC176" s="131">
        <f t="shared" si="59"/>
        <v>15</v>
      </c>
      <c r="AD176" s="143" t="str">
        <f t="shared" si="60"/>
        <v>A</v>
      </c>
      <c r="AE176" s="145">
        <f t="shared" si="61"/>
        <v>727.5</v>
      </c>
      <c r="AF176" s="12" t="b">
        <f t="shared" si="49"/>
        <v>0</v>
      </c>
    </row>
    <row r="177" spans="1:32">
      <c r="A177" s="131" t="s">
        <v>494</v>
      </c>
      <c r="B177" s="131">
        <v>1546.4</v>
      </c>
      <c r="C177" s="131">
        <v>18</v>
      </c>
      <c r="D177" s="131">
        <v>182.1</v>
      </c>
      <c r="E177" s="131"/>
      <c r="F177" s="131">
        <v>0</v>
      </c>
      <c r="G177" s="131"/>
      <c r="H177" s="131">
        <v>933</v>
      </c>
      <c r="I177" s="131"/>
      <c r="J177" s="131">
        <v>118</v>
      </c>
      <c r="K177" s="131"/>
      <c r="L177" s="131">
        <v>0</v>
      </c>
      <c r="M177" s="131" t="s">
        <v>1</v>
      </c>
      <c r="N177" s="131"/>
      <c r="O177" s="131">
        <v>243</v>
      </c>
      <c r="P177" s="131">
        <v>660</v>
      </c>
      <c r="Q177" s="131">
        <v>11</v>
      </c>
      <c r="R177" s="131">
        <v>914</v>
      </c>
      <c r="S177" s="131"/>
      <c r="T177" s="131">
        <v>0</v>
      </c>
      <c r="U177" s="131">
        <v>0</v>
      </c>
      <c r="V177" s="131">
        <v>0</v>
      </c>
      <c r="W177" s="131">
        <v>0</v>
      </c>
      <c r="X177" s="131">
        <v>0</v>
      </c>
      <c r="Y177" s="132">
        <v>41729</v>
      </c>
      <c r="Z177" s="131"/>
      <c r="AA177" s="131"/>
      <c r="AB177" s="131" t="str">
        <f t="shared" si="48"/>
        <v/>
      </c>
      <c r="AC177" s="131">
        <f t="shared" si="59"/>
        <v>15</v>
      </c>
      <c r="AD177" s="143" t="str">
        <f t="shared" si="60"/>
        <v>A</v>
      </c>
      <c r="AE177" s="145">
        <f t="shared" si="61"/>
        <v>1546.4</v>
      </c>
      <c r="AF177" s="12" t="b">
        <f t="shared" si="49"/>
        <v>0</v>
      </c>
    </row>
    <row r="178" spans="1:32">
      <c r="A178" s="131" t="s">
        <v>497</v>
      </c>
      <c r="B178" s="131">
        <v>335.5</v>
      </c>
      <c r="C178" s="131">
        <v>0</v>
      </c>
      <c r="D178" s="131">
        <v>49.9</v>
      </c>
      <c r="E178" s="131"/>
      <c r="F178" s="131">
        <v>0</v>
      </c>
      <c r="G178" s="131"/>
      <c r="H178" s="131">
        <v>86</v>
      </c>
      <c r="I178" s="131"/>
      <c r="J178" s="131">
        <v>30</v>
      </c>
      <c r="K178" s="131"/>
      <c r="L178" s="131">
        <v>0</v>
      </c>
      <c r="M178" s="131" t="s">
        <v>1</v>
      </c>
      <c r="N178" s="131"/>
      <c r="O178" s="131">
        <v>96</v>
      </c>
      <c r="P178" s="131">
        <v>0</v>
      </c>
      <c r="Q178" s="131">
        <v>35</v>
      </c>
      <c r="R178" s="131">
        <v>131</v>
      </c>
      <c r="S178" s="131"/>
      <c r="T178" s="131">
        <v>0</v>
      </c>
      <c r="U178" s="131">
        <v>0</v>
      </c>
      <c r="V178" s="131">
        <v>0</v>
      </c>
      <c r="W178" s="131">
        <v>0</v>
      </c>
      <c r="X178" s="131">
        <v>0</v>
      </c>
      <c r="Y178" s="132">
        <v>41729</v>
      </c>
      <c r="Z178" s="131"/>
      <c r="AA178" s="131"/>
      <c r="AB178" s="131" t="str">
        <f t="shared" si="48"/>
        <v/>
      </c>
      <c r="AC178" s="131">
        <f t="shared" si="59"/>
        <v>15</v>
      </c>
      <c r="AD178" s="143" t="str">
        <f t="shared" si="60"/>
        <v>A</v>
      </c>
      <c r="AE178" s="145">
        <f t="shared" si="61"/>
        <v>335.5</v>
      </c>
      <c r="AF178" s="12" t="b">
        <f t="shared" si="49"/>
        <v>0</v>
      </c>
    </row>
    <row r="179" spans="1:32">
      <c r="A179" s="131" t="s">
        <v>499</v>
      </c>
      <c r="B179" s="131">
        <v>813.7</v>
      </c>
      <c r="C179" s="131">
        <v>0</v>
      </c>
      <c r="D179" s="131">
        <v>177.6</v>
      </c>
      <c r="E179" s="131"/>
      <c r="F179" s="131">
        <v>0</v>
      </c>
      <c r="G179" s="131"/>
      <c r="H179" s="131">
        <v>352</v>
      </c>
      <c r="I179" s="131"/>
      <c r="J179" s="131">
        <v>40</v>
      </c>
      <c r="K179" s="131"/>
      <c r="L179" s="131">
        <v>0</v>
      </c>
      <c r="M179" s="131" t="s">
        <v>1</v>
      </c>
      <c r="N179" s="131"/>
      <c r="O179" s="131">
        <v>241</v>
      </c>
      <c r="P179" s="131">
        <v>29</v>
      </c>
      <c r="Q179" s="131">
        <v>35</v>
      </c>
      <c r="R179" s="131">
        <v>305</v>
      </c>
      <c r="S179" s="131"/>
      <c r="T179" s="131">
        <v>0</v>
      </c>
      <c r="U179" s="131">
        <v>0</v>
      </c>
      <c r="V179" s="131">
        <v>0</v>
      </c>
      <c r="W179" s="131">
        <v>0</v>
      </c>
      <c r="X179" s="131">
        <v>2</v>
      </c>
      <c r="Y179" s="132">
        <v>41729</v>
      </c>
      <c r="Z179" s="131"/>
      <c r="AA179" s="131"/>
      <c r="AB179" s="131" t="str">
        <f t="shared" si="48"/>
        <v/>
      </c>
      <c r="AC179" s="131">
        <f t="shared" si="59"/>
        <v>15</v>
      </c>
      <c r="AD179" s="143" t="str">
        <f t="shared" si="60"/>
        <v>A</v>
      </c>
      <c r="AE179" s="145">
        <f t="shared" si="61"/>
        <v>813.7</v>
      </c>
      <c r="AF179" s="12" t="b">
        <f t="shared" si="49"/>
        <v>0</v>
      </c>
    </row>
    <row r="180" spans="1:32">
      <c r="A180" s="131" t="s">
        <v>504</v>
      </c>
      <c r="B180" s="131">
        <v>619.70000000000005</v>
      </c>
      <c r="C180" s="131">
        <v>0</v>
      </c>
      <c r="D180" s="131">
        <v>117.8</v>
      </c>
      <c r="E180" s="131"/>
      <c r="F180" s="131">
        <v>0</v>
      </c>
      <c r="G180" s="131"/>
      <c r="H180" s="131">
        <v>249</v>
      </c>
      <c r="I180" s="131"/>
      <c r="J180" s="131">
        <v>45</v>
      </c>
      <c r="K180" s="131"/>
      <c r="L180" s="131">
        <v>0</v>
      </c>
      <c r="M180" s="131" t="s">
        <v>1</v>
      </c>
      <c r="N180" s="131"/>
      <c r="O180" s="131">
        <v>72</v>
      </c>
      <c r="P180" s="131">
        <v>196</v>
      </c>
      <c r="Q180" s="131">
        <v>25</v>
      </c>
      <c r="R180" s="131">
        <v>293</v>
      </c>
      <c r="S180" s="131"/>
      <c r="T180" s="131">
        <v>0</v>
      </c>
      <c r="U180" s="131">
        <v>0</v>
      </c>
      <c r="V180" s="131">
        <v>0</v>
      </c>
      <c r="W180" s="131">
        <v>0</v>
      </c>
      <c r="X180" s="131">
        <v>0</v>
      </c>
      <c r="Y180" s="132">
        <v>41729</v>
      </c>
      <c r="Z180" s="131"/>
      <c r="AA180" s="131"/>
      <c r="AB180" s="131" t="str">
        <f t="shared" si="48"/>
        <v/>
      </c>
      <c r="AC180" s="131">
        <f t="shared" si="59"/>
        <v>15</v>
      </c>
      <c r="AD180" s="143" t="str">
        <f t="shared" si="60"/>
        <v>A</v>
      </c>
      <c r="AE180" s="145">
        <f t="shared" si="61"/>
        <v>619.70000000000005</v>
      </c>
      <c r="AF180" s="12" t="b">
        <f t="shared" si="49"/>
        <v>0</v>
      </c>
    </row>
    <row r="181" spans="1:32">
      <c r="A181" s="131" t="s">
        <v>515</v>
      </c>
      <c r="B181" s="131">
        <v>1539.8</v>
      </c>
      <c r="C181" s="131">
        <v>0</v>
      </c>
      <c r="D181" s="131">
        <v>624.9</v>
      </c>
      <c r="E181" s="131"/>
      <c r="F181" s="131">
        <v>28.4</v>
      </c>
      <c r="G181" s="131"/>
      <c r="H181" s="131">
        <v>532</v>
      </c>
      <c r="I181" s="131"/>
      <c r="J181" s="131">
        <v>125</v>
      </c>
      <c r="K181" s="131"/>
      <c r="L181" s="131">
        <v>0</v>
      </c>
      <c r="M181" s="131" t="s">
        <v>1</v>
      </c>
      <c r="N181" s="131"/>
      <c r="O181" s="131">
        <v>216.6</v>
      </c>
      <c r="P181" s="131">
        <v>1122.7</v>
      </c>
      <c r="Q181" s="131">
        <v>185.1</v>
      </c>
      <c r="R181" s="131">
        <v>1524.4</v>
      </c>
      <c r="S181" s="131"/>
      <c r="T181" s="131">
        <v>15.8</v>
      </c>
      <c r="U181" s="131">
        <v>0</v>
      </c>
      <c r="V181" s="131">
        <v>0</v>
      </c>
      <c r="W181" s="131">
        <v>0</v>
      </c>
      <c r="X181" s="131">
        <v>0</v>
      </c>
      <c r="Y181" s="132">
        <v>41729</v>
      </c>
      <c r="Z181" s="131"/>
      <c r="AA181" s="131"/>
      <c r="AB181" s="131" t="str">
        <f t="shared" si="48"/>
        <v/>
      </c>
      <c r="AC181" s="131">
        <f t="shared" si="59"/>
        <v>15</v>
      </c>
      <c r="AD181" s="143" t="str">
        <f t="shared" si="60"/>
        <v>A</v>
      </c>
      <c r="AE181" s="145">
        <f t="shared" si="61"/>
        <v>1524</v>
      </c>
      <c r="AF181" s="12" t="b">
        <f t="shared" si="49"/>
        <v>0</v>
      </c>
    </row>
    <row r="182" spans="1:32">
      <c r="A182" s="131" t="s">
        <v>537</v>
      </c>
      <c r="B182" s="131">
        <v>663.5</v>
      </c>
      <c r="C182" s="131">
        <v>8</v>
      </c>
      <c r="D182" s="131">
        <v>162.5</v>
      </c>
      <c r="E182" s="131"/>
      <c r="F182" s="131">
        <v>0</v>
      </c>
      <c r="G182" s="131"/>
      <c r="H182" s="131">
        <v>349</v>
      </c>
      <c r="I182" s="131"/>
      <c r="J182" s="131">
        <v>31</v>
      </c>
      <c r="K182" s="131"/>
      <c r="L182" s="131">
        <v>0</v>
      </c>
      <c r="M182" s="131" t="s">
        <v>1</v>
      </c>
      <c r="N182" s="131"/>
      <c r="O182" s="131">
        <v>92</v>
      </c>
      <c r="P182" s="131">
        <v>41.5</v>
      </c>
      <c r="Q182" s="131">
        <v>43</v>
      </c>
      <c r="R182" s="131">
        <v>176.5</v>
      </c>
      <c r="S182" s="131"/>
      <c r="T182" s="131">
        <v>0</v>
      </c>
      <c r="U182" s="131">
        <v>0</v>
      </c>
      <c r="V182" s="131">
        <v>0</v>
      </c>
      <c r="W182" s="131">
        <v>0</v>
      </c>
      <c r="X182" s="131">
        <v>0</v>
      </c>
      <c r="Y182" s="132">
        <v>41729</v>
      </c>
      <c r="Z182" s="131"/>
      <c r="AA182" s="131"/>
      <c r="AB182" s="131" t="str">
        <f t="shared" si="48"/>
        <v/>
      </c>
      <c r="AC182" s="131">
        <f t="shared" si="59"/>
        <v>15</v>
      </c>
      <c r="AD182" s="143" t="str">
        <f t="shared" si="60"/>
        <v>A</v>
      </c>
      <c r="AE182" s="145">
        <f t="shared" si="61"/>
        <v>663.5</v>
      </c>
      <c r="AF182" s="12" t="b">
        <f t="shared" si="49"/>
        <v>0</v>
      </c>
    </row>
    <row r="183" spans="1:32">
      <c r="A183" s="131" t="s">
        <v>551</v>
      </c>
      <c r="B183" s="131">
        <v>106.5</v>
      </c>
      <c r="C183" s="131">
        <v>3</v>
      </c>
      <c r="D183" s="131">
        <v>33.1</v>
      </c>
      <c r="E183" s="131"/>
      <c r="F183" s="131">
        <v>245.2</v>
      </c>
      <c r="G183" s="131"/>
      <c r="H183" s="131">
        <v>34</v>
      </c>
      <c r="I183" s="131"/>
      <c r="J183" s="131">
        <v>7</v>
      </c>
      <c r="K183" s="131"/>
      <c r="L183" s="131">
        <v>0</v>
      </c>
      <c r="M183" s="131" t="s">
        <v>1</v>
      </c>
      <c r="N183" s="131"/>
      <c r="O183" s="131">
        <v>52</v>
      </c>
      <c r="P183" s="131">
        <v>0</v>
      </c>
      <c r="Q183" s="131">
        <v>11</v>
      </c>
      <c r="R183" s="131">
        <v>63</v>
      </c>
      <c r="S183" s="131"/>
      <c r="T183" s="131">
        <v>0</v>
      </c>
      <c r="U183" s="131">
        <v>0</v>
      </c>
      <c r="V183" s="131">
        <v>0</v>
      </c>
      <c r="W183" s="131">
        <v>0</v>
      </c>
      <c r="X183" s="131">
        <v>0</v>
      </c>
      <c r="Y183" s="132">
        <v>41729</v>
      </c>
      <c r="Z183" s="131"/>
      <c r="AA183" s="131"/>
      <c r="AB183" s="131" t="str">
        <f t="shared" ref="AB183:AB239" si="62">IF(AA183&gt;0,C183+AA183, "")</f>
        <v/>
      </c>
      <c r="AC183" s="131">
        <f t="shared" si="59"/>
        <v>15</v>
      </c>
      <c r="AD183" s="143" t="str">
        <f t="shared" si="60"/>
        <v>A</v>
      </c>
      <c r="AE183" s="145">
        <f t="shared" si="61"/>
        <v>106.5</v>
      </c>
      <c r="AF183" s="12" t="b">
        <f t="shared" si="49"/>
        <v>0</v>
      </c>
    </row>
    <row r="184" spans="1:32">
      <c r="A184" s="131" t="s">
        <v>554</v>
      </c>
      <c r="B184" s="131">
        <v>4536.1000000000004</v>
      </c>
      <c r="C184" s="131">
        <v>85</v>
      </c>
      <c r="D184" s="131">
        <v>561.9</v>
      </c>
      <c r="E184" s="131"/>
      <c r="F184" s="131">
        <v>10249.6</v>
      </c>
      <c r="G184" s="131"/>
      <c r="H184" s="131">
        <v>3266</v>
      </c>
      <c r="I184" s="131"/>
      <c r="J184" s="131">
        <v>318</v>
      </c>
      <c r="K184" s="131"/>
      <c r="L184" s="131">
        <v>0</v>
      </c>
      <c r="M184" s="131" t="s">
        <v>1</v>
      </c>
      <c r="N184" s="131"/>
      <c r="O184" s="131">
        <v>138</v>
      </c>
      <c r="P184" s="131">
        <v>1769.6</v>
      </c>
      <c r="Q184" s="131">
        <v>3</v>
      </c>
      <c r="R184" s="131">
        <v>1910.6</v>
      </c>
      <c r="S184" s="131"/>
      <c r="T184" s="131">
        <v>0</v>
      </c>
      <c r="U184" s="131">
        <v>0</v>
      </c>
      <c r="V184" s="131">
        <v>0</v>
      </c>
      <c r="W184" s="131">
        <v>0</v>
      </c>
      <c r="X184" s="131">
        <v>2</v>
      </c>
      <c r="Y184" s="132">
        <v>41729</v>
      </c>
      <c r="Z184" s="131"/>
      <c r="AA184" s="131"/>
      <c r="AB184" s="131" t="str">
        <f t="shared" si="62"/>
        <v/>
      </c>
      <c r="AC184" s="131">
        <f t="shared" si="59"/>
        <v>15</v>
      </c>
      <c r="AD184" s="143" t="str">
        <f t="shared" si="60"/>
        <v>A</v>
      </c>
      <c r="AE184" s="145">
        <f t="shared" si="61"/>
        <v>4536.1000000000004</v>
      </c>
      <c r="AF184" s="12" t="b">
        <f t="shared" si="49"/>
        <v>0</v>
      </c>
    </row>
    <row r="185" spans="1:32">
      <c r="A185" s="131" t="s">
        <v>563</v>
      </c>
      <c r="B185" s="131">
        <v>282.10000000000002</v>
      </c>
      <c r="C185" s="131">
        <v>0</v>
      </c>
      <c r="D185" s="131">
        <v>105</v>
      </c>
      <c r="E185" s="131"/>
      <c r="F185" s="131">
        <v>0.6</v>
      </c>
      <c r="G185" s="131"/>
      <c r="H185" s="131">
        <v>91</v>
      </c>
      <c r="I185" s="131"/>
      <c r="J185" s="131">
        <v>13</v>
      </c>
      <c r="K185" s="131"/>
      <c r="L185" s="131">
        <v>0</v>
      </c>
      <c r="M185" s="131" t="s">
        <v>1</v>
      </c>
      <c r="N185" s="131"/>
      <c r="O185" s="131">
        <v>153</v>
      </c>
      <c r="P185" s="131">
        <v>0</v>
      </c>
      <c r="Q185" s="131">
        <v>72</v>
      </c>
      <c r="R185" s="131">
        <v>225</v>
      </c>
      <c r="S185" s="131"/>
      <c r="T185" s="131">
        <v>17.2</v>
      </c>
      <c r="U185" s="131">
        <v>0</v>
      </c>
      <c r="V185" s="131">
        <v>0</v>
      </c>
      <c r="W185" s="131">
        <v>0</v>
      </c>
      <c r="X185" s="131">
        <v>0</v>
      </c>
      <c r="Y185" s="132">
        <v>41729</v>
      </c>
      <c r="Z185" s="131"/>
      <c r="AA185" s="131"/>
      <c r="AB185" s="131" t="str">
        <f t="shared" si="62"/>
        <v/>
      </c>
      <c r="AC185" s="131">
        <f t="shared" si="59"/>
        <v>15</v>
      </c>
      <c r="AD185" s="143" t="str">
        <f t="shared" si="60"/>
        <v>A</v>
      </c>
      <c r="AE185" s="145">
        <f t="shared" si="61"/>
        <v>264.89999999999998</v>
      </c>
      <c r="AF185" s="12" t="b">
        <f t="shared" si="49"/>
        <v>0</v>
      </c>
    </row>
    <row r="186" spans="1:32">
      <c r="A186" s="12" t="s">
        <v>566</v>
      </c>
      <c r="B186" s="12">
        <v>906.9</v>
      </c>
      <c r="C186" s="12">
        <v>14.5</v>
      </c>
      <c r="D186" s="12">
        <v>356.8</v>
      </c>
      <c r="F186" s="12">
        <v>14.1</v>
      </c>
      <c r="H186" s="12">
        <v>415</v>
      </c>
      <c r="J186" s="12">
        <v>105</v>
      </c>
      <c r="L186" s="12">
        <v>0</v>
      </c>
      <c r="M186" s="12" t="s">
        <v>1</v>
      </c>
      <c r="O186" s="12">
        <v>216</v>
      </c>
      <c r="P186" s="12">
        <v>0</v>
      </c>
      <c r="Q186" s="12">
        <v>2</v>
      </c>
      <c r="R186" s="12">
        <v>218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58">
        <v>41729</v>
      </c>
      <c r="AB186" s="131" t="str">
        <f t="shared" si="62"/>
        <v/>
      </c>
      <c r="AC186" s="131">
        <f t="shared" si="59"/>
        <v>15</v>
      </c>
      <c r="AD186" s="143" t="str">
        <f t="shared" si="60"/>
        <v>A</v>
      </c>
      <c r="AE186" s="145">
        <f t="shared" si="61"/>
        <v>906.9</v>
      </c>
      <c r="AF186" s="12" t="b">
        <f t="shared" si="49"/>
        <v>0</v>
      </c>
    </row>
    <row r="187" spans="1:32">
      <c r="A187" s="12" t="s">
        <v>578</v>
      </c>
      <c r="B187" s="12">
        <v>275</v>
      </c>
      <c r="C187" s="12">
        <v>6</v>
      </c>
      <c r="D187" s="12">
        <v>82.1</v>
      </c>
      <c r="F187" s="12">
        <v>744.2</v>
      </c>
      <c r="H187" s="12">
        <v>170</v>
      </c>
      <c r="J187" s="12">
        <v>8</v>
      </c>
      <c r="L187" s="12">
        <v>0</v>
      </c>
      <c r="M187" s="12" t="s">
        <v>1</v>
      </c>
      <c r="O187" s="12">
        <v>50</v>
      </c>
      <c r="P187" s="12">
        <v>0</v>
      </c>
      <c r="Q187" s="12">
        <v>6</v>
      </c>
      <c r="R187" s="12">
        <v>56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58">
        <v>41729</v>
      </c>
      <c r="AB187" s="131" t="str">
        <f t="shared" si="62"/>
        <v/>
      </c>
      <c r="AC187" s="131">
        <f t="shared" si="59"/>
        <v>15</v>
      </c>
      <c r="AD187" s="143" t="str">
        <f t="shared" si="60"/>
        <v>A</v>
      </c>
      <c r="AE187" s="145">
        <f t="shared" si="61"/>
        <v>275</v>
      </c>
      <c r="AF187" s="12" t="b">
        <f t="shared" si="49"/>
        <v>0</v>
      </c>
    </row>
    <row r="188" spans="1:32">
      <c r="A188" s="12" t="s">
        <v>324</v>
      </c>
      <c r="B188" s="12">
        <v>631.4</v>
      </c>
      <c r="C188" s="12">
        <v>6.5</v>
      </c>
      <c r="D188" s="12">
        <v>35.200000000000003</v>
      </c>
      <c r="F188" s="12">
        <v>798.5</v>
      </c>
      <c r="H188" s="12">
        <v>291</v>
      </c>
      <c r="J188" s="12">
        <v>33</v>
      </c>
      <c r="L188" s="12">
        <v>0</v>
      </c>
      <c r="M188" s="12" t="s">
        <v>1</v>
      </c>
      <c r="O188" s="12">
        <v>88</v>
      </c>
      <c r="P188" s="12">
        <v>65</v>
      </c>
      <c r="Q188" s="12">
        <v>36</v>
      </c>
      <c r="R188" s="12">
        <v>189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58">
        <v>41729</v>
      </c>
      <c r="AB188" s="131" t="str">
        <f t="shared" si="62"/>
        <v/>
      </c>
      <c r="AC188" s="131">
        <f t="shared" si="59"/>
        <v>15</v>
      </c>
      <c r="AD188" s="143" t="str">
        <f t="shared" si="60"/>
        <v>A</v>
      </c>
      <c r="AE188" s="145">
        <f t="shared" si="61"/>
        <v>631.4</v>
      </c>
      <c r="AF188" s="12" t="b">
        <f t="shared" si="49"/>
        <v>0</v>
      </c>
    </row>
    <row r="189" spans="1:32">
      <c r="A189" s="12" t="s">
        <v>555</v>
      </c>
      <c r="B189" s="12">
        <v>306</v>
      </c>
      <c r="C189" s="12">
        <v>6</v>
      </c>
      <c r="D189" s="12">
        <v>151</v>
      </c>
      <c r="F189" s="12">
        <v>0</v>
      </c>
      <c r="H189" s="12">
        <v>125</v>
      </c>
      <c r="I189" s="12">
        <v>1.26E-2</v>
      </c>
      <c r="J189" s="12">
        <v>26</v>
      </c>
      <c r="L189" s="12">
        <v>0</v>
      </c>
      <c r="O189" s="12">
        <v>122.5</v>
      </c>
      <c r="P189" s="12">
        <v>0</v>
      </c>
      <c r="Q189" s="12">
        <v>24</v>
      </c>
      <c r="R189" s="12">
        <v>0.32829999999999998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58">
        <v>41729</v>
      </c>
      <c r="Z189" s="12">
        <v>3.5</v>
      </c>
      <c r="AA189" s="12">
        <v>0</v>
      </c>
      <c r="AB189" s="131" t="str">
        <f t="shared" si="62"/>
        <v/>
      </c>
      <c r="AC189" s="131">
        <f t="shared" si="59"/>
        <v>15</v>
      </c>
      <c r="AD189" s="143" t="str">
        <f t="shared" si="60"/>
        <v>AM</v>
      </c>
      <c r="AE189" s="145">
        <f t="shared" si="61"/>
        <v>306</v>
      </c>
      <c r="AF189" s="12" t="b">
        <f t="shared" si="49"/>
        <v>0</v>
      </c>
    </row>
    <row r="190" spans="1:32">
      <c r="A190" s="12" t="s">
        <v>521</v>
      </c>
      <c r="B190" s="12">
        <v>6194.4</v>
      </c>
      <c r="C190" s="12">
        <v>74.5</v>
      </c>
      <c r="D190" s="12">
        <v>1480.7</v>
      </c>
      <c r="F190" s="12">
        <v>13590.9</v>
      </c>
      <c r="H190" s="12">
        <v>4616</v>
      </c>
      <c r="J190" s="12">
        <v>428</v>
      </c>
      <c r="L190" s="12">
        <v>29.9</v>
      </c>
      <c r="M190" s="12" t="s">
        <v>1</v>
      </c>
      <c r="O190" s="12">
        <v>2483</v>
      </c>
      <c r="P190" s="12">
        <v>3605</v>
      </c>
      <c r="Q190" s="12">
        <v>42</v>
      </c>
      <c r="R190" s="12">
        <v>6131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58">
        <v>41729</v>
      </c>
      <c r="AB190" s="131" t="str">
        <f t="shared" si="62"/>
        <v/>
      </c>
      <c r="AC190" s="131">
        <f t="shared" si="59"/>
        <v>15</v>
      </c>
      <c r="AD190" s="143" t="str">
        <f t="shared" si="60"/>
        <v>A</v>
      </c>
      <c r="AE190" s="145">
        <f t="shared" si="61"/>
        <v>6194.4</v>
      </c>
      <c r="AF190" s="12" t="b">
        <f t="shared" si="49"/>
        <v>0</v>
      </c>
    </row>
    <row r="191" spans="1:32">
      <c r="A191" s="12" t="s">
        <v>523</v>
      </c>
      <c r="B191" s="12">
        <v>1704.1</v>
      </c>
      <c r="C191" s="12">
        <v>28</v>
      </c>
      <c r="D191" s="12">
        <v>553.5</v>
      </c>
      <c r="F191" s="12">
        <v>157.30000000000001</v>
      </c>
      <c r="H191" s="12">
        <v>1201</v>
      </c>
      <c r="J191" s="12">
        <v>145</v>
      </c>
      <c r="L191" s="12">
        <v>0</v>
      </c>
      <c r="M191" s="12" t="s">
        <v>1</v>
      </c>
      <c r="O191" s="12">
        <v>450</v>
      </c>
      <c r="P191" s="12">
        <v>1</v>
      </c>
      <c r="Q191" s="12">
        <v>0</v>
      </c>
      <c r="R191" s="12">
        <v>451</v>
      </c>
      <c r="T191" s="12">
        <v>3</v>
      </c>
      <c r="U191" s="12">
        <v>0</v>
      </c>
      <c r="V191" s="12">
        <v>0</v>
      </c>
      <c r="W191" s="12">
        <v>0</v>
      </c>
      <c r="X191" s="12">
        <v>0</v>
      </c>
      <c r="Y191" s="158">
        <v>41729</v>
      </c>
      <c r="AB191" s="131" t="str">
        <f t="shared" si="62"/>
        <v/>
      </c>
      <c r="AC191" s="131">
        <f t="shared" si="59"/>
        <v>15</v>
      </c>
      <c r="AD191" s="143" t="str">
        <f t="shared" si="60"/>
        <v>A</v>
      </c>
      <c r="AE191" s="145">
        <f t="shared" si="61"/>
        <v>1701.1</v>
      </c>
      <c r="AF191" s="12" t="b">
        <f t="shared" si="49"/>
        <v>0</v>
      </c>
    </row>
    <row r="192" spans="1:32">
      <c r="A192" s="12" t="s">
        <v>568</v>
      </c>
      <c r="B192" s="12">
        <v>11312.2</v>
      </c>
      <c r="C192" s="12">
        <v>35</v>
      </c>
      <c r="D192" s="12">
        <v>1984.6</v>
      </c>
      <c r="F192" s="12">
        <v>2218.5</v>
      </c>
      <c r="H192" s="12">
        <v>3431</v>
      </c>
      <c r="J192" s="12">
        <v>507</v>
      </c>
      <c r="L192" s="12">
        <v>0</v>
      </c>
      <c r="M192" s="12" t="s">
        <v>1</v>
      </c>
      <c r="O192" s="12">
        <v>2259.1</v>
      </c>
      <c r="P192" s="12">
        <v>12</v>
      </c>
      <c r="Q192" s="12">
        <v>2</v>
      </c>
      <c r="R192" s="12">
        <v>2273.1</v>
      </c>
      <c r="T192" s="12">
        <v>1341.1</v>
      </c>
      <c r="U192" s="12">
        <v>169</v>
      </c>
      <c r="V192" s="12">
        <v>3</v>
      </c>
      <c r="W192" s="12">
        <v>18</v>
      </c>
      <c r="X192" s="12">
        <v>2</v>
      </c>
      <c r="Y192" s="158">
        <v>41737</v>
      </c>
      <c r="AB192" s="131" t="str">
        <f t="shared" si="62"/>
        <v/>
      </c>
      <c r="AC192" s="131">
        <v>17</v>
      </c>
      <c r="AD192" s="143" t="str">
        <f t="shared" ref="AD192" si="63">IF(Z192="", "A", "AM")</f>
        <v>A</v>
      </c>
      <c r="AE192" s="145">
        <f t="shared" ref="AE192" si="64">B192-T192</f>
        <v>9971.1</v>
      </c>
      <c r="AF192" s="12" t="b">
        <f t="shared" si="49"/>
        <v>0</v>
      </c>
    </row>
    <row r="193" spans="1:32">
      <c r="A193" s="12" t="s">
        <v>302</v>
      </c>
      <c r="B193" s="12">
        <v>277</v>
      </c>
      <c r="C193" s="12">
        <v>2</v>
      </c>
      <c r="D193" s="12">
        <v>107.5</v>
      </c>
      <c r="F193" s="12">
        <v>0</v>
      </c>
      <c r="H193" s="12">
        <v>123</v>
      </c>
      <c r="J193" s="12">
        <v>14</v>
      </c>
      <c r="L193" s="12">
        <v>0</v>
      </c>
      <c r="M193" s="12" t="s">
        <v>1</v>
      </c>
      <c r="O193" s="12">
        <v>148</v>
      </c>
      <c r="P193" s="12">
        <v>0</v>
      </c>
      <c r="Q193" s="12">
        <v>7</v>
      </c>
      <c r="R193" s="12">
        <v>155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58">
        <v>41743</v>
      </c>
      <c r="AB193" s="131" t="str">
        <f t="shared" si="62"/>
        <v/>
      </c>
      <c r="AC193" s="131">
        <f>IF(Y193=Y192,AC192,AC192+1)</f>
        <v>18</v>
      </c>
      <c r="AD193" s="143" t="str">
        <f t="shared" ref="AD193:AD195" si="65">IF(Z193="", "A", "AM")</f>
        <v>A</v>
      </c>
      <c r="AE193" s="145">
        <f t="shared" ref="AE193:AE195" si="66">B193-T193</f>
        <v>277</v>
      </c>
      <c r="AF193" s="12" t="b">
        <f t="shared" si="49"/>
        <v>0</v>
      </c>
    </row>
    <row r="194" spans="1:32">
      <c r="A194" s="12" t="s">
        <v>306</v>
      </c>
      <c r="B194" s="12">
        <v>318</v>
      </c>
      <c r="C194" s="12">
        <v>4.5</v>
      </c>
      <c r="D194" s="12">
        <v>66.7</v>
      </c>
      <c r="F194" s="12">
        <v>0</v>
      </c>
      <c r="H194" s="12">
        <v>125</v>
      </c>
      <c r="J194" s="12">
        <v>24</v>
      </c>
      <c r="L194" s="12">
        <v>0</v>
      </c>
      <c r="M194" s="12" t="s">
        <v>1</v>
      </c>
      <c r="O194" s="12">
        <v>248</v>
      </c>
      <c r="P194" s="12">
        <v>57.5</v>
      </c>
      <c r="Q194" s="12">
        <v>21</v>
      </c>
      <c r="R194" s="12">
        <v>326.5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58">
        <v>41743</v>
      </c>
      <c r="AB194" s="131" t="str">
        <f t="shared" si="62"/>
        <v/>
      </c>
      <c r="AC194" s="131">
        <f t="shared" ref="AC194:AC195" si="67">IF(Y194=Y193,AC193,AC193+1)</f>
        <v>18</v>
      </c>
      <c r="AD194" s="143" t="str">
        <f t="shared" si="65"/>
        <v>A</v>
      </c>
      <c r="AE194" s="145">
        <f t="shared" si="66"/>
        <v>318</v>
      </c>
      <c r="AF194" s="12" t="b">
        <f t="shared" ref="AF194:AF257" si="68">COUNTIF(A:A,A194)&gt;1</f>
        <v>0</v>
      </c>
    </row>
    <row r="195" spans="1:32">
      <c r="A195" s="12" t="s">
        <v>309</v>
      </c>
      <c r="B195" s="12">
        <v>640.5</v>
      </c>
      <c r="C195" s="12">
        <v>7</v>
      </c>
      <c r="D195" s="12">
        <v>150.69999999999999</v>
      </c>
      <c r="F195" s="12">
        <v>0</v>
      </c>
      <c r="H195" s="12">
        <v>307</v>
      </c>
      <c r="J195" s="12">
        <v>73</v>
      </c>
      <c r="L195" s="12">
        <v>0</v>
      </c>
      <c r="M195" s="12" t="s">
        <v>1</v>
      </c>
      <c r="O195" s="12">
        <v>267</v>
      </c>
      <c r="P195" s="12">
        <v>152.5</v>
      </c>
      <c r="Q195" s="12">
        <v>11</v>
      </c>
      <c r="R195" s="12">
        <v>430.5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58">
        <v>41743</v>
      </c>
      <c r="AB195" s="131" t="str">
        <f t="shared" si="62"/>
        <v/>
      </c>
      <c r="AC195" s="131">
        <f t="shared" si="67"/>
        <v>18</v>
      </c>
      <c r="AD195" s="143" t="str">
        <f t="shared" si="65"/>
        <v>A</v>
      </c>
      <c r="AE195" s="145">
        <f t="shared" si="66"/>
        <v>640.5</v>
      </c>
      <c r="AF195" s="12" t="b">
        <f t="shared" si="68"/>
        <v>0</v>
      </c>
    </row>
    <row r="196" spans="1:32">
      <c r="A196" s="12" t="s">
        <v>345</v>
      </c>
      <c r="B196" s="12">
        <v>190</v>
      </c>
      <c r="C196" s="12">
        <v>0</v>
      </c>
      <c r="D196" s="12">
        <v>0</v>
      </c>
      <c r="F196" s="12">
        <v>0</v>
      </c>
      <c r="H196" s="12">
        <v>48</v>
      </c>
      <c r="J196" s="12">
        <v>4</v>
      </c>
      <c r="L196" s="12">
        <v>0</v>
      </c>
      <c r="M196" s="12" t="s">
        <v>1</v>
      </c>
      <c r="O196" s="12">
        <v>54</v>
      </c>
      <c r="P196" s="12">
        <v>5</v>
      </c>
      <c r="Q196" s="12">
        <v>10</v>
      </c>
      <c r="R196" s="12">
        <v>69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58">
        <v>41743</v>
      </c>
      <c r="AB196" s="131" t="str">
        <f t="shared" si="62"/>
        <v/>
      </c>
      <c r="AC196" s="131">
        <f t="shared" ref="AC196:AC212" si="69">IF(Y196=Y195,AC195,AC195+1)</f>
        <v>18</v>
      </c>
      <c r="AD196" s="143" t="str">
        <f t="shared" ref="AD196:AD212" si="70">IF(Z196="", "A", "AM")</f>
        <v>A</v>
      </c>
      <c r="AE196" s="145">
        <f t="shared" ref="AE196:AE212" si="71">B196-T196</f>
        <v>190</v>
      </c>
      <c r="AF196" s="12" t="b">
        <f t="shared" si="68"/>
        <v>0</v>
      </c>
    </row>
    <row r="197" spans="1:32">
      <c r="A197" s="12" t="s">
        <v>346</v>
      </c>
      <c r="B197" s="12">
        <v>90.8</v>
      </c>
      <c r="C197" s="12">
        <v>0</v>
      </c>
      <c r="D197" s="12">
        <v>0</v>
      </c>
      <c r="F197" s="12">
        <v>22.6</v>
      </c>
      <c r="H197" s="12">
        <v>21</v>
      </c>
      <c r="J197" s="12">
        <v>10</v>
      </c>
      <c r="L197" s="12">
        <v>0</v>
      </c>
      <c r="M197" s="12" t="s">
        <v>1</v>
      </c>
      <c r="O197" s="12">
        <v>34</v>
      </c>
      <c r="P197" s="12">
        <v>0</v>
      </c>
      <c r="Q197" s="12">
        <v>11</v>
      </c>
      <c r="R197" s="12">
        <v>45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58">
        <v>41743</v>
      </c>
      <c r="AB197" s="131" t="str">
        <f t="shared" si="62"/>
        <v/>
      </c>
      <c r="AC197" s="131">
        <f t="shared" si="69"/>
        <v>18</v>
      </c>
      <c r="AD197" s="143" t="str">
        <f t="shared" si="70"/>
        <v>A</v>
      </c>
      <c r="AE197" s="145">
        <f t="shared" si="71"/>
        <v>90.8</v>
      </c>
      <c r="AF197" s="12" t="b">
        <f t="shared" si="68"/>
        <v>0</v>
      </c>
    </row>
    <row r="198" spans="1:32">
      <c r="A198" s="12" t="s">
        <v>357</v>
      </c>
      <c r="B198" s="12">
        <v>4213.8</v>
      </c>
      <c r="C198" s="12">
        <v>66</v>
      </c>
      <c r="D198" s="12">
        <v>781.9</v>
      </c>
      <c r="F198" s="12">
        <v>5809</v>
      </c>
      <c r="H198" s="12">
        <v>2647</v>
      </c>
      <c r="J198" s="12">
        <v>224</v>
      </c>
      <c r="L198" s="12">
        <v>250</v>
      </c>
      <c r="M198" s="12" t="s">
        <v>1</v>
      </c>
      <c r="O198" s="12">
        <v>1625</v>
      </c>
      <c r="P198" s="12">
        <v>529</v>
      </c>
      <c r="Q198" s="12">
        <v>9</v>
      </c>
      <c r="R198" s="12">
        <v>2163</v>
      </c>
      <c r="T198" s="12">
        <v>3.7</v>
      </c>
      <c r="U198" s="12">
        <v>0</v>
      </c>
      <c r="V198" s="12">
        <v>0</v>
      </c>
      <c r="W198" s="12">
        <v>0</v>
      </c>
      <c r="X198" s="12">
        <v>1</v>
      </c>
      <c r="Y198" s="158">
        <v>41743</v>
      </c>
      <c r="AB198" s="131" t="str">
        <f t="shared" si="62"/>
        <v/>
      </c>
      <c r="AC198" s="131">
        <f t="shared" si="69"/>
        <v>18</v>
      </c>
      <c r="AD198" s="143" t="str">
        <f t="shared" si="70"/>
        <v>A</v>
      </c>
      <c r="AE198" s="145">
        <f t="shared" si="71"/>
        <v>4210.1000000000004</v>
      </c>
      <c r="AF198" s="12" t="b">
        <f t="shared" si="68"/>
        <v>0</v>
      </c>
    </row>
    <row r="199" spans="1:32">
      <c r="A199" s="12" t="s">
        <v>371</v>
      </c>
      <c r="B199" s="12">
        <v>1845</v>
      </c>
      <c r="C199" s="12">
        <v>0</v>
      </c>
      <c r="D199" s="12">
        <v>348.6</v>
      </c>
      <c r="F199" s="12">
        <v>0</v>
      </c>
      <c r="H199" s="12">
        <v>214</v>
      </c>
      <c r="J199" s="12">
        <v>108</v>
      </c>
      <c r="L199" s="12">
        <v>0</v>
      </c>
      <c r="M199" s="12" t="s">
        <v>1</v>
      </c>
      <c r="O199" s="12">
        <v>749</v>
      </c>
      <c r="P199" s="12">
        <v>546</v>
      </c>
      <c r="Q199" s="12">
        <v>11</v>
      </c>
      <c r="R199" s="12">
        <v>1306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58">
        <v>41743</v>
      </c>
      <c r="AB199" s="131" t="str">
        <f t="shared" si="62"/>
        <v/>
      </c>
      <c r="AC199" s="131">
        <f t="shared" si="69"/>
        <v>18</v>
      </c>
      <c r="AD199" s="143" t="str">
        <f t="shared" si="70"/>
        <v>A</v>
      </c>
      <c r="AE199" s="145">
        <f t="shared" si="71"/>
        <v>1845</v>
      </c>
      <c r="AF199" s="12" t="b">
        <f t="shared" si="68"/>
        <v>0</v>
      </c>
    </row>
    <row r="200" spans="1:32">
      <c r="A200" s="12" t="s">
        <v>380</v>
      </c>
      <c r="B200" s="12">
        <v>378.6</v>
      </c>
      <c r="C200" s="12">
        <v>0</v>
      </c>
      <c r="D200" s="12">
        <v>96.6</v>
      </c>
      <c r="F200" s="12">
        <v>0</v>
      </c>
      <c r="H200" s="12">
        <v>122</v>
      </c>
      <c r="J200" s="12">
        <v>35</v>
      </c>
      <c r="L200" s="12">
        <v>0</v>
      </c>
      <c r="M200" s="12" t="s">
        <v>1</v>
      </c>
      <c r="O200" s="12">
        <v>101</v>
      </c>
      <c r="P200" s="12">
        <v>0</v>
      </c>
      <c r="Q200" s="12">
        <v>19</v>
      </c>
      <c r="R200" s="12">
        <v>120</v>
      </c>
      <c r="T200" s="12">
        <v>24.7</v>
      </c>
      <c r="U200" s="12">
        <v>0</v>
      </c>
      <c r="V200" s="12">
        <v>0</v>
      </c>
      <c r="W200" s="12">
        <v>0</v>
      </c>
      <c r="X200" s="12">
        <v>0</v>
      </c>
      <c r="Y200" s="158">
        <v>41743</v>
      </c>
      <c r="AB200" s="131" t="str">
        <f t="shared" si="62"/>
        <v/>
      </c>
      <c r="AC200" s="131">
        <f t="shared" si="69"/>
        <v>18</v>
      </c>
      <c r="AD200" s="143" t="str">
        <f t="shared" si="70"/>
        <v>A</v>
      </c>
      <c r="AE200" s="145">
        <f t="shared" si="71"/>
        <v>353.9</v>
      </c>
      <c r="AF200" s="12" t="b">
        <f t="shared" si="68"/>
        <v>0</v>
      </c>
    </row>
    <row r="201" spans="1:32">
      <c r="A201" s="12" t="s">
        <v>421</v>
      </c>
      <c r="B201" s="12">
        <v>155.1</v>
      </c>
      <c r="C201" s="12">
        <v>0</v>
      </c>
      <c r="D201" s="12">
        <v>0</v>
      </c>
      <c r="F201" s="12">
        <v>0</v>
      </c>
      <c r="H201" s="12">
        <v>52</v>
      </c>
      <c r="J201" s="12">
        <v>11</v>
      </c>
      <c r="L201" s="12">
        <v>0</v>
      </c>
      <c r="M201" s="12" t="s">
        <v>1</v>
      </c>
      <c r="O201" s="12">
        <v>67</v>
      </c>
      <c r="P201" s="12">
        <v>3</v>
      </c>
      <c r="Q201" s="12">
        <v>1</v>
      </c>
      <c r="R201" s="12">
        <v>71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58">
        <v>41743</v>
      </c>
      <c r="AB201" s="131" t="str">
        <f t="shared" si="62"/>
        <v/>
      </c>
      <c r="AC201" s="131">
        <f t="shared" ref="AC201:AC208" si="72">IF(Y201=Y200,AC200,AC200+1)</f>
        <v>18</v>
      </c>
      <c r="AD201" s="143" t="str">
        <f t="shared" ref="AD201:AD208" si="73">IF(Z201="", "A", "AM")</f>
        <v>A</v>
      </c>
      <c r="AE201" s="145">
        <f t="shared" ref="AE201:AE208" si="74">B201-T201</f>
        <v>155.1</v>
      </c>
      <c r="AF201" s="12" t="b">
        <f t="shared" si="68"/>
        <v>0</v>
      </c>
    </row>
    <row r="202" spans="1:32">
      <c r="A202" s="12" t="s">
        <v>470</v>
      </c>
      <c r="B202" s="12">
        <v>5918</v>
      </c>
      <c r="C202" s="12">
        <v>28</v>
      </c>
      <c r="D202" s="12">
        <v>638</v>
      </c>
      <c r="F202" s="12">
        <v>1041</v>
      </c>
      <c r="H202" s="12">
        <v>1807</v>
      </c>
      <c r="I202" s="12">
        <v>0</v>
      </c>
      <c r="J202" s="12">
        <v>319</v>
      </c>
      <c r="L202" s="12">
        <v>138.19999999999999</v>
      </c>
      <c r="O202" s="12">
        <v>2476</v>
      </c>
      <c r="P202" s="12">
        <v>446</v>
      </c>
      <c r="Q202" s="12">
        <v>6</v>
      </c>
      <c r="R202" s="12">
        <v>0.14979999999999999</v>
      </c>
      <c r="T202" s="12">
        <v>260.7</v>
      </c>
      <c r="U202" s="12">
        <v>68</v>
      </c>
      <c r="V202" s="12">
        <v>4</v>
      </c>
      <c r="W202" s="12">
        <v>7</v>
      </c>
      <c r="X202" s="12">
        <v>1</v>
      </c>
      <c r="Y202" s="158">
        <v>41743</v>
      </c>
      <c r="Z202" s="12">
        <v>68.7</v>
      </c>
      <c r="AA202" s="12">
        <v>0</v>
      </c>
      <c r="AB202" s="131" t="str">
        <f t="shared" si="62"/>
        <v/>
      </c>
      <c r="AC202" s="131">
        <f t="shared" si="72"/>
        <v>18</v>
      </c>
      <c r="AD202" s="143" t="str">
        <f t="shared" si="73"/>
        <v>AM</v>
      </c>
      <c r="AE202" s="145">
        <f t="shared" si="74"/>
        <v>5657.3</v>
      </c>
      <c r="AF202" s="12" t="b">
        <f t="shared" si="68"/>
        <v>0</v>
      </c>
    </row>
    <row r="203" spans="1:32">
      <c r="A203" s="12" t="s">
        <v>488</v>
      </c>
      <c r="B203" s="12">
        <v>2160.1999999999998</v>
      </c>
      <c r="C203" s="12">
        <v>14.5</v>
      </c>
      <c r="D203" s="12">
        <v>569.6</v>
      </c>
      <c r="F203" s="12">
        <v>16.8</v>
      </c>
      <c r="H203" s="12">
        <v>785</v>
      </c>
      <c r="J203" s="12">
        <v>171</v>
      </c>
      <c r="L203" s="12">
        <v>369.1</v>
      </c>
      <c r="M203" s="12" t="s">
        <v>1</v>
      </c>
      <c r="O203" s="12">
        <v>440.4</v>
      </c>
      <c r="P203" s="12">
        <v>4</v>
      </c>
      <c r="Q203" s="12">
        <v>2</v>
      </c>
      <c r="R203" s="12">
        <v>446.4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58">
        <v>41743</v>
      </c>
      <c r="AB203" s="131" t="str">
        <f t="shared" si="62"/>
        <v/>
      </c>
      <c r="AC203" s="131">
        <f t="shared" si="72"/>
        <v>18</v>
      </c>
      <c r="AD203" s="143" t="str">
        <f t="shared" si="73"/>
        <v>A</v>
      </c>
      <c r="AE203" s="145">
        <f t="shared" si="74"/>
        <v>2160.1999999999998</v>
      </c>
      <c r="AF203" s="12" t="b">
        <f t="shared" si="68"/>
        <v>0</v>
      </c>
    </row>
    <row r="204" spans="1:32">
      <c r="A204" s="12" t="s">
        <v>495</v>
      </c>
      <c r="B204" s="12">
        <v>534.9</v>
      </c>
      <c r="C204" s="12">
        <v>3.5</v>
      </c>
      <c r="D204" s="12">
        <v>322</v>
      </c>
      <c r="F204" s="12">
        <v>4.9000000000000004</v>
      </c>
      <c r="H204" s="12">
        <v>156</v>
      </c>
      <c r="J204" s="12">
        <v>44</v>
      </c>
      <c r="L204" s="12">
        <v>0</v>
      </c>
      <c r="M204" s="12" t="s">
        <v>1</v>
      </c>
      <c r="O204" s="12">
        <v>144</v>
      </c>
      <c r="P204" s="12">
        <v>13</v>
      </c>
      <c r="Q204" s="12">
        <v>36</v>
      </c>
      <c r="R204" s="12">
        <v>193</v>
      </c>
      <c r="T204" s="12">
        <v>6.8</v>
      </c>
      <c r="U204" s="12">
        <v>0</v>
      </c>
      <c r="V204" s="12">
        <v>0</v>
      </c>
      <c r="W204" s="12">
        <v>0</v>
      </c>
      <c r="X204" s="12">
        <v>0</v>
      </c>
      <c r="Y204" s="158">
        <v>41743</v>
      </c>
      <c r="AB204" s="131" t="str">
        <f t="shared" si="62"/>
        <v/>
      </c>
      <c r="AC204" s="131">
        <f t="shared" si="72"/>
        <v>18</v>
      </c>
      <c r="AD204" s="143" t="str">
        <f t="shared" si="73"/>
        <v>A</v>
      </c>
      <c r="AE204" s="145">
        <f t="shared" si="74"/>
        <v>528.1</v>
      </c>
      <c r="AF204" s="12" t="b">
        <f t="shared" si="68"/>
        <v>0</v>
      </c>
    </row>
    <row r="205" spans="1:32">
      <c r="A205" s="12" t="s">
        <v>501</v>
      </c>
      <c r="B205" s="12">
        <v>701</v>
      </c>
      <c r="C205" s="12">
        <v>7.5</v>
      </c>
      <c r="D205" s="12">
        <v>189.2</v>
      </c>
      <c r="F205" s="12">
        <v>34.700000000000003</v>
      </c>
      <c r="H205" s="12">
        <v>263</v>
      </c>
      <c r="J205" s="12">
        <v>68</v>
      </c>
      <c r="L205" s="12">
        <v>0</v>
      </c>
      <c r="M205" s="12" t="s">
        <v>1</v>
      </c>
      <c r="O205" s="12">
        <v>287</v>
      </c>
      <c r="P205" s="12">
        <v>72</v>
      </c>
      <c r="Q205" s="12">
        <v>23</v>
      </c>
      <c r="R205" s="12">
        <v>382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58">
        <v>41743</v>
      </c>
      <c r="AB205" s="131" t="str">
        <f t="shared" si="62"/>
        <v/>
      </c>
      <c r="AC205" s="131">
        <f t="shared" si="72"/>
        <v>18</v>
      </c>
      <c r="AD205" s="143" t="str">
        <f t="shared" si="73"/>
        <v>A</v>
      </c>
      <c r="AE205" s="145">
        <f t="shared" si="74"/>
        <v>701</v>
      </c>
      <c r="AF205" s="12" t="b">
        <f t="shared" si="68"/>
        <v>0</v>
      </c>
    </row>
    <row r="206" spans="1:32">
      <c r="A206" s="12" t="s">
        <v>505</v>
      </c>
      <c r="B206" s="12">
        <v>428.5</v>
      </c>
      <c r="C206" s="12">
        <v>0</v>
      </c>
      <c r="D206" s="12">
        <v>84.4</v>
      </c>
      <c r="F206" s="12">
        <v>0</v>
      </c>
      <c r="H206" s="12">
        <v>108</v>
      </c>
      <c r="J206" s="12">
        <v>42</v>
      </c>
      <c r="L206" s="12">
        <v>0</v>
      </c>
      <c r="M206" s="12" t="s">
        <v>1</v>
      </c>
      <c r="O206" s="12">
        <v>178</v>
      </c>
      <c r="P206" s="12">
        <v>31</v>
      </c>
      <c r="Q206" s="12">
        <v>19</v>
      </c>
      <c r="R206" s="12">
        <v>228</v>
      </c>
      <c r="T206" s="12">
        <v>0</v>
      </c>
      <c r="U206" s="12">
        <v>0</v>
      </c>
      <c r="V206" s="12">
        <v>0</v>
      </c>
      <c r="W206" s="12">
        <v>0</v>
      </c>
      <c r="X206" s="12">
        <v>1</v>
      </c>
      <c r="Y206" s="158">
        <v>41743</v>
      </c>
      <c r="AB206" s="131" t="str">
        <f t="shared" si="62"/>
        <v/>
      </c>
      <c r="AC206" s="131">
        <f t="shared" si="72"/>
        <v>18</v>
      </c>
      <c r="AD206" s="143" t="str">
        <f t="shared" si="73"/>
        <v>A</v>
      </c>
      <c r="AE206" s="145">
        <f t="shared" si="74"/>
        <v>428.5</v>
      </c>
      <c r="AF206" s="12" t="b">
        <f t="shared" si="68"/>
        <v>0</v>
      </c>
    </row>
    <row r="207" spans="1:32">
      <c r="A207" s="12" t="s">
        <v>520</v>
      </c>
      <c r="B207" s="12">
        <v>753.5</v>
      </c>
      <c r="C207" s="12">
        <v>10</v>
      </c>
      <c r="D207" s="12">
        <v>326.89999999999998</v>
      </c>
      <c r="F207" s="12">
        <v>7.3</v>
      </c>
      <c r="H207" s="12">
        <v>304</v>
      </c>
      <c r="J207" s="12">
        <v>33</v>
      </c>
      <c r="L207" s="12">
        <v>0</v>
      </c>
      <c r="M207" s="12" t="s">
        <v>1</v>
      </c>
      <c r="O207" s="12">
        <v>375</v>
      </c>
      <c r="P207" s="12">
        <v>0</v>
      </c>
      <c r="Q207" s="12">
        <v>1</v>
      </c>
      <c r="R207" s="12">
        <v>376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58">
        <v>41743</v>
      </c>
      <c r="AB207" s="131" t="str">
        <f t="shared" si="62"/>
        <v/>
      </c>
      <c r="AC207" s="131">
        <f t="shared" si="72"/>
        <v>18</v>
      </c>
      <c r="AD207" s="143" t="str">
        <f t="shared" si="73"/>
        <v>A</v>
      </c>
      <c r="AE207" s="145">
        <f t="shared" si="74"/>
        <v>753.5</v>
      </c>
      <c r="AF207" s="12" t="b">
        <f t="shared" si="68"/>
        <v>0</v>
      </c>
    </row>
    <row r="208" spans="1:32">
      <c r="A208" s="12" t="s">
        <v>556</v>
      </c>
      <c r="B208" s="12">
        <v>242.5</v>
      </c>
      <c r="C208" s="12">
        <v>2.5</v>
      </c>
      <c r="D208" s="12">
        <v>30.5</v>
      </c>
      <c r="F208" s="12">
        <v>0</v>
      </c>
      <c r="H208" s="12">
        <v>81</v>
      </c>
      <c r="J208" s="12">
        <v>15</v>
      </c>
      <c r="L208" s="12">
        <v>0</v>
      </c>
      <c r="M208" s="12" t="s">
        <v>1</v>
      </c>
      <c r="O208" s="12">
        <v>47</v>
      </c>
      <c r="P208" s="12">
        <v>0</v>
      </c>
      <c r="Q208" s="12">
        <v>30</v>
      </c>
      <c r="R208" s="12">
        <v>77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58">
        <v>41743</v>
      </c>
      <c r="AB208" s="131" t="str">
        <f t="shared" si="62"/>
        <v/>
      </c>
      <c r="AC208" s="131">
        <f t="shared" si="72"/>
        <v>18</v>
      </c>
      <c r="AD208" s="143" t="str">
        <f t="shared" si="73"/>
        <v>A</v>
      </c>
      <c r="AE208" s="145">
        <f t="shared" si="74"/>
        <v>242.5</v>
      </c>
      <c r="AF208" s="12" t="b">
        <f t="shared" si="68"/>
        <v>0</v>
      </c>
    </row>
    <row r="209" spans="1:32">
      <c r="A209" s="12" t="s">
        <v>396</v>
      </c>
      <c r="B209" s="12">
        <v>227.5</v>
      </c>
      <c r="C209" s="12">
        <v>3</v>
      </c>
      <c r="D209" s="12">
        <v>26.1</v>
      </c>
      <c r="F209" s="12">
        <v>0</v>
      </c>
      <c r="H209" s="12">
        <v>80</v>
      </c>
      <c r="J209" s="12">
        <v>13</v>
      </c>
      <c r="L209" s="12">
        <v>0</v>
      </c>
      <c r="M209" s="12" t="s">
        <v>1</v>
      </c>
      <c r="O209" s="12">
        <v>145</v>
      </c>
      <c r="P209" s="12">
        <v>0</v>
      </c>
      <c r="Q209" s="12">
        <v>3</v>
      </c>
      <c r="R209" s="12">
        <v>148</v>
      </c>
      <c r="T209" s="12">
        <v>14.8</v>
      </c>
      <c r="U209" s="12">
        <v>5</v>
      </c>
      <c r="V209" s="12">
        <v>0</v>
      </c>
      <c r="W209" s="12">
        <v>0</v>
      </c>
      <c r="X209" s="12">
        <v>0</v>
      </c>
      <c r="Y209" s="158">
        <v>41745</v>
      </c>
      <c r="AB209" s="131" t="str">
        <f t="shared" si="62"/>
        <v/>
      </c>
      <c r="AC209" s="131">
        <f t="shared" si="69"/>
        <v>19</v>
      </c>
      <c r="AD209" s="143" t="str">
        <f t="shared" si="70"/>
        <v>A</v>
      </c>
      <c r="AE209" s="145">
        <f t="shared" si="71"/>
        <v>212.7</v>
      </c>
      <c r="AF209" s="12" t="b">
        <f t="shared" si="68"/>
        <v>0</v>
      </c>
    </row>
    <row r="210" spans="1:32">
      <c r="A210" s="12" t="s">
        <v>518</v>
      </c>
      <c r="B210" s="12">
        <v>411.9</v>
      </c>
      <c r="C210" s="12">
        <v>0</v>
      </c>
      <c r="D210" s="12">
        <v>74</v>
      </c>
      <c r="F210" s="12">
        <v>5.3</v>
      </c>
      <c r="H210" s="12">
        <v>68</v>
      </c>
      <c r="J210" s="12">
        <v>50</v>
      </c>
      <c r="L210" s="12">
        <v>0</v>
      </c>
      <c r="M210" s="12" t="s">
        <v>1</v>
      </c>
      <c r="O210" s="12">
        <v>135</v>
      </c>
      <c r="P210" s="12">
        <v>5</v>
      </c>
      <c r="Q210" s="12">
        <v>3</v>
      </c>
      <c r="R210" s="12">
        <v>143</v>
      </c>
      <c r="T210" s="12">
        <v>11.9</v>
      </c>
      <c r="U210" s="12">
        <v>0</v>
      </c>
      <c r="V210" s="12">
        <v>0</v>
      </c>
      <c r="W210" s="12">
        <v>0</v>
      </c>
      <c r="X210" s="12">
        <v>0</v>
      </c>
      <c r="Y210" s="158">
        <v>41745</v>
      </c>
      <c r="AB210" s="131" t="str">
        <f t="shared" si="62"/>
        <v/>
      </c>
      <c r="AC210" s="131">
        <f t="shared" si="69"/>
        <v>19</v>
      </c>
      <c r="AD210" s="143" t="str">
        <f t="shared" si="70"/>
        <v>A</v>
      </c>
      <c r="AE210" s="145">
        <f t="shared" si="71"/>
        <v>400</v>
      </c>
      <c r="AF210" s="12" t="b">
        <f t="shared" si="68"/>
        <v>0</v>
      </c>
    </row>
    <row r="211" spans="1:32">
      <c r="A211" s="12" t="s">
        <v>560</v>
      </c>
      <c r="B211" s="12">
        <v>2802.7</v>
      </c>
      <c r="C211" s="12">
        <v>19</v>
      </c>
      <c r="D211" s="12">
        <v>480.8</v>
      </c>
      <c r="F211" s="12">
        <v>550.1</v>
      </c>
      <c r="H211" s="12">
        <v>910</v>
      </c>
      <c r="J211" s="12">
        <v>154</v>
      </c>
      <c r="L211" s="12">
        <v>128</v>
      </c>
      <c r="M211" s="12" t="s">
        <v>1</v>
      </c>
      <c r="O211" s="12">
        <v>561.5</v>
      </c>
      <c r="P211" s="12">
        <v>447</v>
      </c>
      <c r="Q211" s="12">
        <v>85</v>
      </c>
      <c r="R211" s="12">
        <v>1093.5</v>
      </c>
      <c r="T211" s="12">
        <v>41.5</v>
      </c>
      <c r="U211" s="12">
        <v>2</v>
      </c>
      <c r="V211" s="12">
        <v>0</v>
      </c>
      <c r="W211" s="12">
        <v>0</v>
      </c>
      <c r="X211" s="12">
        <v>0</v>
      </c>
      <c r="Y211" s="158">
        <v>41745</v>
      </c>
      <c r="AB211" s="131" t="str">
        <f t="shared" si="62"/>
        <v/>
      </c>
      <c r="AC211" s="131">
        <f t="shared" si="69"/>
        <v>19</v>
      </c>
      <c r="AD211" s="143" t="str">
        <f t="shared" si="70"/>
        <v>A</v>
      </c>
      <c r="AE211" s="145">
        <f t="shared" si="71"/>
        <v>2761.2</v>
      </c>
      <c r="AF211" s="12" t="b">
        <f t="shared" si="68"/>
        <v>0</v>
      </c>
    </row>
    <row r="212" spans="1:32">
      <c r="A212" s="12" t="s">
        <v>581</v>
      </c>
      <c r="B212" s="12">
        <v>157.5</v>
      </c>
      <c r="C212" s="12">
        <v>0</v>
      </c>
      <c r="D212" s="12">
        <v>0</v>
      </c>
      <c r="F212" s="12">
        <v>0</v>
      </c>
      <c r="H212" s="12">
        <v>52</v>
      </c>
      <c r="J212" s="12">
        <v>6</v>
      </c>
      <c r="L212" s="12">
        <v>0</v>
      </c>
      <c r="M212" s="12" t="s">
        <v>1</v>
      </c>
      <c r="O212" s="12">
        <v>16.5</v>
      </c>
      <c r="P212" s="12">
        <v>9</v>
      </c>
      <c r="Q212" s="12">
        <v>26</v>
      </c>
      <c r="R212" s="12">
        <v>51.5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58">
        <v>41745</v>
      </c>
      <c r="AB212" s="131" t="str">
        <f t="shared" si="62"/>
        <v/>
      </c>
      <c r="AC212" s="131">
        <f t="shared" si="69"/>
        <v>19</v>
      </c>
      <c r="AD212" s="143" t="str">
        <f t="shared" si="70"/>
        <v>A</v>
      </c>
      <c r="AE212" s="145">
        <f t="shared" si="71"/>
        <v>157.5</v>
      </c>
      <c r="AF212" s="12" t="b">
        <f t="shared" si="68"/>
        <v>0</v>
      </c>
    </row>
    <row r="213" spans="1:32">
      <c r="A213" s="12" t="s">
        <v>304</v>
      </c>
      <c r="B213" s="12">
        <v>460</v>
      </c>
      <c r="C213" s="12">
        <v>0</v>
      </c>
      <c r="D213" s="12">
        <v>90.9</v>
      </c>
      <c r="F213" s="12">
        <v>0</v>
      </c>
      <c r="H213" s="12">
        <v>177</v>
      </c>
      <c r="J213" s="12">
        <v>34</v>
      </c>
      <c r="L213" s="12">
        <v>0</v>
      </c>
      <c r="M213" s="12" t="s">
        <v>1</v>
      </c>
      <c r="O213" s="12">
        <v>189.5</v>
      </c>
      <c r="P213" s="12">
        <v>18</v>
      </c>
      <c r="Q213" s="12">
        <v>27</v>
      </c>
      <c r="R213" s="12">
        <v>234.5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58">
        <v>41751</v>
      </c>
      <c r="AB213" s="131" t="str">
        <f t="shared" si="62"/>
        <v/>
      </c>
      <c r="AC213" s="131">
        <v>21</v>
      </c>
      <c r="AD213" s="143" t="str">
        <f t="shared" ref="AD213:AD215" si="75">IF(Z213="", "A", "AM")</f>
        <v>A</v>
      </c>
      <c r="AE213" s="145">
        <f t="shared" ref="AE213:AE215" si="76">B213-T213</f>
        <v>460</v>
      </c>
      <c r="AF213" s="12" t="b">
        <f t="shared" si="68"/>
        <v>0</v>
      </c>
    </row>
    <row r="214" spans="1:32">
      <c r="A214" s="12" t="s">
        <v>310</v>
      </c>
      <c r="B214" s="12">
        <v>548</v>
      </c>
      <c r="C214" s="12">
        <v>9</v>
      </c>
      <c r="D214" s="12">
        <v>320.5</v>
      </c>
      <c r="F214" s="12">
        <v>0</v>
      </c>
      <c r="H214" s="12">
        <v>92</v>
      </c>
      <c r="J214" s="12">
        <v>30</v>
      </c>
      <c r="L214" s="12">
        <v>0</v>
      </c>
      <c r="M214" s="12" t="s">
        <v>1</v>
      </c>
      <c r="O214" s="12">
        <v>216.5</v>
      </c>
      <c r="P214" s="12">
        <v>37.299999999999997</v>
      </c>
      <c r="Q214" s="12">
        <v>14</v>
      </c>
      <c r="R214" s="12">
        <v>267.8</v>
      </c>
      <c r="T214" s="12">
        <v>0</v>
      </c>
      <c r="U214" s="12">
        <v>0</v>
      </c>
      <c r="V214" s="12">
        <v>0</v>
      </c>
      <c r="W214" s="12">
        <v>0</v>
      </c>
      <c r="X214" s="12">
        <v>1</v>
      </c>
      <c r="Y214" s="158">
        <v>41751</v>
      </c>
      <c r="AB214" s="131" t="str">
        <f t="shared" si="62"/>
        <v/>
      </c>
      <c r="AC214" s="131">
        <f t="shared" ref="AC214:AC215" si="77">IF(Y214=Y213,AC213,AC213+1)</f>
        <v>21</v>
      </c>
      <c r="AD214" s="143" t="str">
        <f t="shared" si="75"/>
        <v>A</v>
      </c>
      <c r="AE214" s="145">
        <f t="shared" si="76"/>
        <v>548</v>
      </c>
      <c r="AF214" s="12" t="b">
        <f t="shared" si="68"/>
        <v>0</v>
      </c>
    </row>
    <row r="215" spans="1:32">
      <c r="A215" s="12" t="s">
        <v>314</v>
      </c>
      <c r="B215" s="12">
        <v>2421.8000000000002</v>
      </c>
      <c r="C215" s="12">
        <v>19</v>
      </c>
      <c r="D215" s="12">
        <v>436.7</v>
      </c>
      <c r="F215" s="12">
        <v>459.8</v>
      </c>
      <c r="H215" s="12">
        <v>1069</v>
      </c>
      <c r="J215" s="12">
        <v>221</v>
      </c>
      <c r="L215" s="12">
        <v>0</v>
      </c>
      <c r="M215" s="12" t="s">
        <v>1</v>
      </c>
      <c r="O215" s="12">
        <v>861</v>
      </c>
      <c r="P215" s="12">
        <v>574</v>
      </c>
      <c r="Q215" s="12">
        <v>22</v>
      </c>
      <c r="R215" s="12">
        <v>1457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58">
        <v>41751</v>
      </c>
      <c r="AB215" s="131" t="str">
        <f t="shared" si="62"/>
        <v/>
      </c>
      <c r="AC215" s="131">
        <f t="shared" si="77"/>
        <v>21</v>
      </c>
      <c r="AD215" s="143" t="str">
        <f t="shared" si="75"/>
        <v>A</v>
      </c>
      <c r="AE215" s="145">
        <f t="shared" si="76"/>
        <v>2421.8000000000002</v>
      </c>
      <c r="AF215" s="12" t="b">
        <f t="shared" si="68"/>
        <v>0</v>
      </c>
    </row>
    <row r="216" spans="1:32">
      <c r="A216" s="12" t="s">
        <v>337</v>
      </c>
      <c r="B216" s="12">
        <v>5141.8999999999996</v>
      </c>
      <c r="C216" s="12">
        <v>9</v>
      </c>
      <c r="D216" s="12">
        <v>918</v>
      </c>
      <c r="F216" s="12">
        <v>206.5</v>
      </c>
      <c r="H216" s="12">
        <v>1300</v>
      </c>
      <c r="J216" s="12">
        <v>134</v>
      </c>
      <c r="L216" s="12">
        <v>321</v>
      </c>
      <c r="M216" s="12" t="s">
        <v>1</v>
      </c>
      <c r="O216" s="12">
        <v>1453</v>
      </c>
      <c r="P216" s="12">
        <v>297</v>
      </c>
      <c r="Q216" s="12">
        <v>13</v>
      </c>
      <c r="R216" s="12">
        <v>1763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58">
        <v>41751</v>
      </c>
      <c r="AB216" s="131" t="str">
        <f t="shared" si="62"/>
        <v/>
      </c>
      <c r="AC216" s="131">
        <f t="shared" ref="AC216:AC230" si="78">IF(Y216=Y215,AC215,AC215+1)</f>
        <v>21</v>
      </c>
      <c r="AD216" s="143" t="str">
        <f t="shared" ref="AD216:AD230" si="79">IF(Z216="", "A", "AM")</f>
        <v>A</v>
      </c>
      <c r="AE216" s="145">
        <f t="shared" ref="AE216:AE230" si="80">B216-T216</f>
        <v>5141.8999999999996</v>
      </c>
      <c r="AF216" s="12" t="b">
        <f t="shared" si="68"/>
        <v>0</v>
      </c>
    </row>
    <row r="217" spans="1:32">
      <c r="A217" s="12" t="s">
        <v>364</v>
      </c>
      <c r="B217" s="12">
        <v>6354.8</v>
      </c>
      <c r="C217" s="12">
        <v>24.5</v>
      </c>
      <c r="D217" s="12">
        <v>1280.5999999999999</v>
      </c>
      <c r="F217" s="12">
        <v>1433.6</v>
      </c>
      <c r="H217" s="12">
        <v>2497</v>
      </c>
      <c r="I217" s="12">
        <v>2.8000000000000001E-2</v>
      </c>
      <c r="J217" s="12">
        <v>385</v>
      </c>
      <c r="L217" s="12">
        <v>0</v>
      </c>
      <c r="O217" s="12">
        <v>1508</v>
      </c>
      <c r="P217" s="12">
        <v>26</v>
      </c>
      <c r="Q217" s="12">
        <v>12</v>
      </c>
      <c r="R217" s="12">
        <v>0.14979999999999999</v>
      </c>
      <c r="T217" s="12">
        <v>19.7</v>
      </c>
      <c r="U217" s="12">
        <v>0</v>
      </c>
      <c r="V217" s="12">
        <v>0</v>
      </c>
      <c r="W217" s="12">
        <v>0</v>
      </c>
      <c r="X217" s="12">
        <v>1</v>
      </c>
      <c r="Y217" s="158">
        <v>41751</v>
      </c>
      <c r="Z217" s="12">
        <v>47</v>
      </c>
      <c r="AA217" s="12">
        <v>0</v>
      </c>
      <c r="AB217" s="131" t="str">
        <f t="shared" si="62"/>
        <v/>
      </c>
      <c r="AC217" s="131">
        <f t="shared" si="78"/>
        <v>21</v>
      </c>
      <c r="AD217" s="143" t="str">
        <f t="shared" si="79"/>
        <v>AM</v>
      </c>
      <c r="AE217" s="145">
        <f t="shared" si="80"/>
        <v>6335.1</v>
      </c>
      <c r="AF217" s="12" t="b">
        <f t="shared" si="68"/>
        <v>0</v>
      </c>
    </row>
    <row r="218" spans="1:32">
      <c r="A218" s="12" t="s">
        <v>383</v>
      </c>
      <c r="B218" s="12">
        <v>364.5</v>
      </c>
      <c r="C218" s="12">
        <v>0</v>
      </c>
      <c r="D218" s="12">
        <v>106.8</v>
      </c>
      <c r="F218" s="12">
        <v>0</v>
      </c>
      <c r="H218" s="12">
        <v>112</v>
      </c>
      <c r="J218" s="12">
        <v>12</v>
      </c>
      <c r="L218" s="12">
        <v>0</v>
      </c>
      <c r="M218" s="12" t="s">
        <v>1</v>
      </c>
      <c r="O218" s="12">
        <v>186</v>
      </c>
      <c r="P218" s="12">
        <v>84</v>
      </c>
      <c r="Q218" s="12">
        <v>10</v>
      </c>
      <c r="R218" s="12">
        <v>280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58">
        <v>41751</v>
      </c>
      <c r="AB218" s="131" t="str">
        <f t="shared" si="62"/>
        <v/>
      </c>
      <c r="AC218" s="131">
        <f t="shared" si="78"/>
        <v>21</v>
      </c>
      <c r="AD218" s="143" t="str">
        <f t="shared" si="79"/>
        <v>A</v>
      </c>
      <c r="AE218" s="145">
        <f t="shared" si="80"/>
        <v>364.5</v>
      </c>
      <c r="AF218" s="12" t="b">
        <f t="shared" si="68"/>
        <v>0</v>
      </c>
    </row>
    <row r="219" spans="1:32">
      <c r="A219" s="12" t="s">
        <v>392</v>
      </c>
      <c r="B219" s="12">
        <v>285.5</v>
      </c>
      <c r="C219" s="12">
        <v>3</v>
      </c>
      <c r="D219" s="12">
        <v>61</v>
      </c>
      <c r="F219" s="12">
        <v>13.3</v>
      </c>
      <c r="H219" s="12">
        <v>73</v>
      </c>
      <c r="J219" s="12">
        <v>29</v>
      </c>
      <c r="L219" s="12">
        <v>0</v>
      </c>
      <c r="M219" s="12" t="s">
        <v>1</v>
      </c>
      <c r="O219" s="12">
        <v>56</v>
      </c>
      <c r="P219" s="12">
        <v>34</v>
      </c>
      <c r="Q219" s="12">
        <v>54</v>
      </c>
      <c r="R219" s="12">
        <v>144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58">
        <v>41751</v>
      </c>
      <c r="AB219" s="131" t="str">
        <f t="shared" si="62"/>
        <v/>
      </c>
      <c r="AC219" s="131">
        <f t="shared" si="78"/>
        <v>21</v>
      </c>
      <c r="AD219" s="143" t="str">
        <f t="shared" si="79"/>
        <v>A</v>
      </c>
      <c r="AE219" s="145">
        <f t="shared" si="80"/>
        <v>285.5</v>
      </c>
      <c r="AF219" s="12" t="b">
        <f t="shared" si="68"/>
        <v>0</v>
      </c>
    </row>
    <row r="220" spans="1:32">
      <c r="A220" s="12" t="s">
        <v>398</v>
      </c>
      <c r="B220" s="12">
        <v>298.8</v>
      </c>
      <c r="C220" s="12">
        <v>0</v>
      </c>
      <c r="D220" s="12">
        <v>103.7</v>
      </c>
      <c r="F220" s="12">
        <v>58.3</v>
      </c>
      <c r="H220" s="12">
        <v>91</v>
      </c>
      <c r="J220" s="12">
        <v>52</v>
      </c>
      <c r="L220" s="12">
        <v>0</v>
      </c>
      <c r="M220" s="12" t="s">
        <v>1</v>
      </c>
      <c r="O220" s="12">
        <v>41.6</v>
      </c>
      <c r="P220" s="12">
        <v>2.1</v>
      </c>
      <c r="Q220" s="12">
        <v>0</v>
      </c>
      <c r="R220" s="12">
        <v>43.7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58">
        <v>41751</v>
      </c>
      <c r="AB220" s="131" t="str">
        <f t="shared" si="62"/>
        <v/>
      </c>
      <c r="AC220" s="131">
        <f t="shared" si="78"/>
        <v>21</v>
      </c>
      <c r="AD220" s="143" t="str">
        <f t="shared" si="79"/>
        <v>A</v>
      </c>
      <c r="AE220" s="145">
        <f t="shared" si="80"/>
        <v>298.8</v>
      </c>
      <c r="AF220" s="12" t="b">
        <f t="shared" si="68"/>
        <v>0</v>
      </c>
    </row>
    <row r="221" spans="1:32">
      <c r="A221" s="12" t="s">
        <v>443</v>
      </c>
      <c r="B221" s="12">
        <v>409.2</v>
      </c>
      <c r="C221" s="12">
        <v>0</v>
      </c>
      <c r="D221" s="12">
        <v>137.5</v>
      </c>
      <c r="F221" s="12">
        <v>0</v>
      </c>
      <c r="H221" s="12">
        <v>178</v>
      </c>
      <c r="J221" s="12">
        <v>28</v>
      </c>
      <c r="L221" s="12">
        <v>0</v>
      </c>
      <c r="M221" s="12" t="s">
        <v>1</v>
      </c>
      <c r="O221" s="12">
        <v>69.900000000000006</v>
      </c>
      <c r="P221" s="12">
        <v>9.1999999999999993</v>
      </c>
      <c r="Q221" s="12">
        <v>26.5</v>
      </c>
      <c r="R221" s="12">
        <v>105.6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58">
        <v>41751</v>
      </c>
      <c r="AB221" s="131" t="str">
        <f t="shared" si="62"/>
        <v/>
      </c>
      <c r="AC221" s="131">
        <f t="shared" si="78"/>
        <v>21</v>
      </c>
      <c r="AD221" s="143" t="str">
        <f t="shared" si="79"/>
        <v>A</v>
      </c>
      <c r="AE221" s="145">
        <f t="shared" si="80"/>
        <v>409.2</v>
      </c>
      <c r="AF221" s="12" t="b">
        <f t="shared" si="68"/>
        <v>0</v>
      </c>
    </row>
    <row r="222" spans="1:32">
      <c r="A222" s="12" t="s">
        <v>452</v>
      </c>
      <c r="B222" s="12">
        <v>683.7</v>
      </c>
      <c r="C222" s="12">
        <v>5.5</v>
      </c>
      <c r="D222" s="12">
        <v>257.10000000000002</v>
      </c>
      <c r="F222" s="12">
        <v>0</v>
      </c>
      <c r="H222" s="12">
        <v>237</v>
      </c>
      <c r="J222" s="12">
        <v>65</v>
      </c>
      <c r="L222" s="12">
        <v>0</v>
      </c>
      <c r="M222" s="12" t="s">
        <v>1</v>
      </c>
      <c r="O222" s="12">
        <v>198.1</v>
      </c>
      <c r="P222" s="12">
        <v>55</v>
      </c>
      <c r="Q222" s="12">
        <v>21.2</v>
      </c>
      <c r="R222" s="12">
        <v>274.3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58">
        <v>41751</v>
      </c>
      <c r="AB222" s="131" t="str">
        <f t="shared" si="62"/>
        <v/>
      </c>
      <c r="AC222" s="131">
        <f t="shared" si="78"/>
        <v>21</v>
      </c>
      <c r="AD222" s="143" t="str">
        <f t="shared" si="79"/>
        <v>A</v>
      </c>
      <c r="AE222" s="145">
        <f t="shared" si="80"/>
        <v>683.7</v>
      </c>
      <c r="AF222" s="12" t="b">
        <f t="shared" si="68"/>
        <v>0</v>
      </c>
    </row>
    <row r="223" spans="1:32">
      <c r="A223" s="12" t="s">
        <v>471</v>
      </c>
      <c r="B223" s="12">
        <v>178</v>
      </c>
      <c r="C223" s="12">
        <v>1</v>
      </c>
      <c r="D223" s="12">
        <v>64.5</v>
      </c>
      <c r="F223" s="12">
        <v>0</v>
      </c>
      <c r="H223" s="12">
        <v>31</v>
      </c>
      <c r="J223" s="12">
        <v>18</v>
      </c>
      <c r="L223" s="12">
        <v>0</v>
      </c>
      <c r="M223" s="12" t="s">
        <v>1</v>
      </c>
      <c r="O223" s="12">
        <v>124</v>
      </c>
      <c r="P223" s="12">
        <v>7</v>
      </c>
      <c r="Q223" s="12">
        <v>22</v>
      </c>
      <c r="R223" s="12">
        <v>153</v>
      </c>
      <c r="T223" s="12">
        <v>0</v>
      </c>
      <c r="U223" s="12">
        <v>0</v>
      </c>
      <c r="V223" s="12">
        <v>0</v>
      </c>
      <c r="W223" s="12">
        <v>0</v>
      </c>
      <c r="X223" s="12">
        <v>1</v>
      </c>
      <c r="Y223" s="158">
        <v>41751</v>
      </c>
      <c r="AB223" s="131" t="str">
        <f t="shared" si="62"/>
        <v/>
      </c>
      <c r="AC223" s="131">
        <f t="shared" si="78"/>
        <v>21</v>
      </c>
      <c r="AD223" s="143" t="str">
        <f t="shared" si="79"/>
        <v>A</v>
      </c>
      <c r="AE223" s="145">
        <f t="shared" si="80"/>
        <v>178</v>
      </c>
      <c r="AF223" s="12" t="b">
        <f t="shared" si="68"/>
        <v>0</v>
      </c>
    </row>
    <row r="224" spans="1:32">
      <c r="A224" s="12" t="s">
        <v>489</v>
      </c>
      <c r="B224" s="12">
        <v>217.7</v>
      </c>
      <c r="C224" s="12">
        <v>0</v>
      </c>
      <c r="D224" s="12">
        <v>45</v>
      </c>
      <c r="F224" s="12">
        <v>0</v>
      </c>
      <c r="H224" s="12">
        <v>52</v>
      </c>
      <c r="J224" s="12">
        <v>18</v>
      </c>
      <c r="L224" s="12">
        <v>0</v>
      </c>
      <c r="M224" s="12" t="s">
        <v>1</v>
      </c>
      <c r="O224" s="12">
        <v>118</v>
      </c>
      <c r="P224" s="12">
        <v>12</v>
      </c>
      <c r="Q224" s="12">
        <v>17</v>
      </c>
      <c r="R224" s="12">
        <v>147</v>
      </c>
      <c r="T224" s="12">
        <v>12.2</v>
      </c>
      <c r="U224" s="12">
        <v>0</v>
      </c>
      <c r="V224" s="12">
        <v>0</v>
      </c>
      <c r="W224" s="12">
        <v>0</v>
      </c>
      <c r="X224" s="12">
        <v>0</v>
      </c>
      <c r="Y224" s="158">
        <v>41751</v>
      </c>
      <c r="AB224" s="131" t="str">
        <f t="shared" si="62"/>
        <v/>
      </c>
      <c r="AC224" s="131">
        <f t="shared" si="78"/>
        <v>21</v>
      </c>
      <c r="AD224" s="143" t="str">
        <f t="shared" si="79"/>
        <v>A</v>
      </c>
      <c r="AE224" s="145">
        <f t="shared" si="80"/>
        <v>205.5</v>
      </c>
      <c r="AF224" s="12" t="b">
        <f t="shared" si="68"/>
        <v>0</v>
      </c>
    </row>
    <row r="225" spans="1:32">
      <c r="A225" s="12" t="s">
        <v>522</v>
      </c>
      <c r="B225" s="12">
        <v>330.9</v>
      </c>
      <c r="C225" s="12">
        <v>2.5</v>
      </c>
      <c r="D225" s="12">
        <v>39.9</v>
      </c>
      <c r="F225" s="12">
        <v>1</v>
      </c>
      <c r="H225" s="12">
        <v>99</v>
      </c>
      <c r="J225" s="12">
        <v>22</v>
      </c>
      <c r="L225" s="12">
        <v>0</v>
      </c>
      <c r="M225" s="12" t="s">
        <v>1</v>
      </c>
      <c r="O225" s="12">
        <v>187.5</v>
      </c>
      <c r="P225" s="12">
        <v>11</v>
      </c>
      <c r="Q225" s="12">
        <v>58</v>
      </c>
      <c r="R225" s="12">
        <v>256.5</v>
      </c>
      <c r="T225" s="12">
        <v>5</v>
      </c>
      <c r="U225" s="12">
        <v>0</v>
      </c>
      <c r="V225" s="12">
        <v>0</v>
      </c>
      <c r="W225" s="12">
        <v>0</v>
      </c>
      <c r="X225" s="12">
        <v>0</v>
      </c>
      <c r="Y225" s="158">
        <v>41751</v>
      </c>
      <c r="AB225" s="131" t="str">
        <f t="shared" si="62"/>
        <v/>
      </c>
      <c r="AC225" s="131">
        <f t="shared" si="78"/>
        <v>21</v>
      </c>
      <c r="AD225" s="143" t="str">
        <f t="shared" si="79"/>
        <v>A</v>
      </c>
      <c r="AE225" s="145">
        <f t="shared" si="80"/>
        <v>325.89999999999998</v>
      </c>
      <c r="AF225" s="12" t="b">
        <f t="shared" si="68"/>
        <v>0</v>
      </c>
    </row>
    <row r="226" spans="1:32">
      <c r="A226" s="12" t="s">
        <v>542</v>
      </c>
      <c r="B226" s="12">
        <v>880.5</v>
      </c>
      <c r="C226" s="12">
        <v>14.5</v>
      </c>
      <c r="D226" s="12">
        <v>81.599999999999994</v>
      </c>
      <c r="F226" s="12">
        <v>554</v>
      </c>
      <c r="H226" s="12">
        <v>351</v>
      </c>
      <c r="J226" s="12">
        <v>50</v>
      </c>
      <c r="L226" s="12">
        <v>0</v>
      </c>
      <c r="M226" s="12" t="s">
        <v>1</v>
      </c>
      <c r="O226" s="12">
        <v>143</v>
      </c>
      <c r="P226" s="12">
        <v>29.5</v>
      </c>
      <c r="Q226" s="12">
        <v>17</v>
      </c>
      <c r="R226" s="12">
        <v>189.5</v>
      </c>
      <c r="T226" s="12">
        <v>9</v>
      </c>
      <c r="U226" s="12">
        <v>0</v>
      </c>
      <c r="V226" s="12">
        <v>0</v>
      </c>
      <c r="W226" s="12">
        <v>0</v>
      </c>
      <c r="X226" s="12">
        <v>0</v>
      </c>
      <c r="Y226" s="158">
        <v>41751</v>
      </c>
      <c r="AB226" s="131" t="str">
        <f t="shared" si="62"/>
        <v/>
      </c>
      <c r="AC226" s="131">
        <f t="shared" si="78"/>
        <v>21</v>
      </c>
      <c r="AD226" s="143" t="str">
        <f t="shared" si="79"/>
        <v>A</v>
      </c>
      <c r="AE226" s="145">
        <f t="shared" si="80"/>
        <v>871.5</v>
      </c>
      <c r="AF226" s="12" t="b">
        <f t="shared" si="68"/>
        <v>0</v>
      </c>
    </row>
    <row r="227" spans="1:32">
      <c r="A227" s="12" t="s">
        <v>544</v>
      </c>
      <c r="B227" s="12">
        <v>79.8</v>
      </c>
      <c r="C227" s="12">
        <v>0</v>
      </c>
      <c r="D227" s="12">
        <v>0</v>
      </c>
      <c r="F227" s="12">
        <v>25.4</v>
      </c>
      <c r="H227" s="12">
        <v>49</v>
      </c>
      <c r="J227" s="12">
        <v>5</v>
      </c>
      <c r="L227" s="12">
        <v>0</v>
      </c>
      <c r="M227" s="12" t="s">
        <v>1</v>
      </c>
      <c r="O227" s="12">
        <v>6.5</v>
      </c>
      <c r="P227" s="12">
        <v>30.5</v>
      </c>
      <c r="Q227" s="12">
        <v>0</v>
      </c>
      <c r="R227" s="12">
        <v>37</v>
      </c>
      <c r="T227" s="12">
        <v>0.3</v>
      </c>
      <c r="U227" s="12">
        <v>0</v>
      </c>
      <c r="V227" s="12">
        <v>0</v>
      </c>
      <c r="W227" s="12">
        <v>0</v>
      </c>
      <c r="X227" s="12">
        <v>0</v>
      </c>
      <c r="Y227" s="158">
        <v>41751</v>
      </c>
      <c r="AB227" s="131" t="str">
        <f t="shared" si="62"/>
        <v/>
      </c>
      <c r="AC227" s="131">
        <f t="shared" si="78"/>
        <v>21</v>
      </c>
      <c r="AD227" s="143" t="str">
        <f t="shared" si="79"/>
        <v>A</v>
      </c>
      <c r="AE227" s="145">
        <f t="shared" si="80"/>
        <v>79.5</v>
      </c>
      <c r="AF227" s="12" t="b">
        <f t="shared" si="68"/>
        <v>0</v>
      </c>
    </row>
    <row r="228" spans="1:32">
      <c r="A228" s="12" t="s">
        <v>567</v>
      </c>
      <c r="B228" s="12">
        <v>166.5</v>
      </c>
      <c r="C228" s="12">
        <v>0</v>
      </c>
      <c r="D228" s="12">
        <v>0</v>
      </c>
      <c r="F228" s="12">
        <v>0.9</v>
      </c>
      <c r="H228" s="12">
        <v>36</v>
      </c>
      <c r="J228" s="12">
        <v>2</v>
      </c>
      <c r="L228" s="12">
        <v>0</v>
      </c>
      <c r="M228" s="12" t="s">
        <v>1</v>
      </c>
      <c r="O228" s="12">
        <v>49</v>
      </c>
      <c r="P228" s="12">
        <v>1</v>
      </c>
      <c r="Q228" s="12">
        <v>24</v>
      </c>
      <c r="R228" s="12">
        <v>74</v>
      </c>
      <c r="T228" s="12">
        <v>54</v>
      </c>
      <c r="U228" s="12">
        <v>0</v>
      </c>
      <c r="V228" s="12">
        <v>0</v>
      </c>
      <c r="W228" s="12">
        <v>0</v>
      </c>
      <c r="X228" s="12">
        <v>0</v>
      </c>
      <c r="Y228" s="158">
        <v>41751</v>
      </c>
      <c r="AB228" s="131" t="str">
        <f t="shared" si="62"/>
        <v/>
      </c>
      <c r="AC228" s="131">
        <f t="shared" si="78"/>
        <v>21</v>
      </c>
      <c r="AD228" s="143" t="str">
        <f t="shared" si="79"/>
        <v>A</v>
      </c>
      <c r="AE228" s="145">
        <f t="shared" si="80"/>
        <v>112.5</v>
      </c>
      <c r="AF228" s="12" t="b">
        <f t="shared" si="68"/>
        <v>0</v>
      </c>
    </row>
    <row r="229" spans="1:32">
      <c r="A229" s="12" t="s">
        <v>575</v>
      </c>
      <c r="B229" s="12">
        <v>458.7</v>
      </c>
      <c r="C229" s="12">
        <v>3.5</v>
      </c>
      <c r="D229" s="12">
        <v>59.9</v>
      </c>
      <c r="F229" s="12">
        <v>0</v>
      </c>
      <c r="H229" s="12">
        <v>223</v>
      </c>
      <c r="J229" s="12">
        <v>16</v>
      </c>
      <c r="L229" s="12">
        <v>0</v>
      </c>
      <c r="M229" s="12" t="s">
        <v>1</v>
      </c>
      <c r="O229" s="12">
        <v>17</v>
      </c>
      <c r="P229" s="12">
        <v>112</v>
      </c>
      <c r="Q229" s="12">
        <v>116</v>
      </c>
      <c r="R229" s="12">
        <v>245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58">
        <v>41751</v>
      </c>
      <c r="AB229" s="131" t="str">
        <f t="shared" si="62"/>
        <v/>
      </c>
      <c r="AC229" s="131">
        <f t="shared" si="78"/>
        <v>21</v>
      </c>
      <c r="AD229" s="143" t="str">
        <f t="shared" si="79"/>
        <v>A</v>
      </c>
      <c r="AE229" s="145">
        <f t="shared" si="80"/>
        <v>458.7</v>
      </c>
      <c r="AF229" s="12" t="b">
        <f t="shared" si="68"/>
        <v>0</v>
      </c>
    </row>
    <row r="230" spans="1:32">
      <c r="A230" s="12" t="s">
        <v>577</v>
      </c>
      <c r="B230" s="12">
        <v>1460.3</v>
      </c>
      <c r="C230" s="12">
        <v>11</v>
      </c>
      <c r="D230" s="12">
        <v>757</v>
      </c>
      <c r="F230" s="12">
        <v>0</v>
      </c>
      <c r="H230" s="12">
        <v>622</v>
      </c>
      <c r="J230" s="12">
        <v>69</v>
      </c>
      <c r="L230" s="12">
        <v>17.899999999999999</v>
      </c>
      <c r="M230" s="12" t="s">
        <v>1</v>
      </c>
      <c r="O230" s="12">
        <v>657.5</v>
      </c>
      <c r="P230" s="12">
        <v>106.5</v>
      </c>
      <c r="Q230" s="12">
        <v>455.5</v>
      </c>
      <c r="R230" s="12">
        <v>1219.5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58">
        <v>41751</v>
      </c>
      <c r="AB230" s="131" t="str">
        <f t="shared" si="62"/>
        <v/>
      </c>
      <c r="AC230" s="131">
        <f t="shared" si="78"/>
        <v>21</v>
      </c>
      <c r="AD230" s="143" t="str">
        <f t="shared" si="79"/>
        <v>A</v>
      </c>
      <c r="AE230" s="145">
        <f t="shared" si="80"/>
        <v>1460.3</v>
      </c>
      <c r="AF230" s="12" t="b">
        <f t="shared" si="68"/>
        <v>0</v>
      </c>
    </row>
    <row r="231" spans="1:32">
      <c r="A231" s="12" t="s">
        <v>322</v>
      </c>
      <c r="B231" s="12">
        <v>170</v>
      </c>
      <c r="C231" s="12">
        <v>2.5</v>
      </c>
      <c r="D231" s="12">
        <v>59</v>
      </c>
      <c r="F231" s="12">
        <v>0</v>
      </c>
      <c r="H231" s="12">
        <v>65</v>
      </c>
      <c r="J231" s="12">
        <v>9</v>
      </c>
      <c r="L231" s="12">
        <v>0</v>
      </c>
      <c r="M231" s="12" t="s">
        <v>1</v>
      </c>
      <c r="O231" s="12">
        <v>88</v>
      </c>
      <c r="P231" s="12">
        <v>0</v>
      </c>
      <c r="Q231" s="12">
        <v>8</v>
      </c>
      <c r="R231" s="12">
        <v>96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58">
        <v>41757</v>
      </c>
      <c r="AB231" s="131" t="str">
        <f t="shared" si="62"/>
        <v/>
      </c>
      <c r="AC231" s="131">
        <f t="shared" ref="AC231:AC232" si="81">IF(Y231=Y230,AC230,AC230+1)</f>
        <v>22</v>
      </c>
      <c r="AD231" s="143" t="str">
        <f t="shared" ref="AD231:AD232" si="82">IF(Z231="", "A", "AM")</f>
        <v>A</v>
      </c>
      <c r="AE231" s="145">
        <f t="shared" ref="AE231:AE232" si="83">B231-T231</f>
        <v>170</v>
      </c>
      <c r="AF231" s="12" t="b">
        <f t="shared" si="68"/>
        <v>0</v>
      </c>
    </row>
    <row r="232" spans="1:32">
      <c r="A232" s="12" t="s">
        <v>325</v>
      </c>
      <c r="B232" s="12">
        <v>235.3</v>
      </c>
      <c r="C232" s="12">
        <v>6</v>
      </c>
      <c r="D232" s="12">
        <v>63.4</v>
      </c>
      <c r="F232" s="12">
        <v>491.5</v>
      </c>
      <c r="H232" s="12">
        <v>167</v>
      </c>
      <c r="J232" s="12">
        <v>19</v>
      </c>
      <c r="L232" s="12">
        <v>0</v>
      </c>
      <c r="M232" s="12" t="s">
        <v>1</v>
      </c>
      <c r="O232" s="12">
        <v>22</v>
      </c>
      <c r="P232" s="12">
        <v>82</v>
      </c>
      <c r="Q232" s="12">
        <v>0</v>
      </c>
      <c r="R232" s="12">
        <v>104</v>
      </c>
      <c r="T232" s="12">
        <v>3.8</v>
      </c>
      <c r="U232" s="12">
        <v>0</v>
      </c>
      <c r="V232" s="12">
        <v>0</v>
      </c>
      <c r="W232" s="12">
        <v>0</v>
      </c>
      <c r="X232" s="12">
        <v>0</v>
      </c>
      <c r="Y232" s="158">
        <v>41757</v>
      </c>
      <c r="AB232" s="131" t="str">
        <f t="shared" si="62"/>
        <v/>
      </c>
      <c r="AC232" s="131">
        <f t="shared" si="81"/>
        <v>22</v>
      </c>
      <c r="AD232" s="143" t="str">
        <f t="shared" si="82"/>
        <v>A</v>
      </c>
      <c r="AE232" s="145">
        <f t="shared" si="83"/>
        <v>231.5</v>
      </c>
      <c r="AF232" s="12" t="b">
        <f t="shared" si="68"/>
        <v>0</v>
      </c>
    </row>
    <row r="233" spans="1:32">
      <c r="A233" s="12" t="s">
        <v>404</v>
      </c>
      <c r="B233" s="12">
        <v>272</v>
      </c>
      <c r="C233" s="12">
        <v>0</v>
      </c>
      <c r="D233" s="12">
        <v>91.9</v>
      </c>
      <c r="F233" s="12">
        <v>38.799999999999997</v>
      </c>
      <c r="H233" s="12">
        <v>163</v>
      </c>
      <c r="J233" s="12">
        <v>17</v>
      </c>
      <c r="L233" s="12">
        <v>0</v>
      </c>
      <c r="M233" s="12" t="s">
        <v>1</v>
      </c>
      <c r="O233" s="12">
        <v>271</v>
      </c>
      <c r="P233" s="12">
        <v>7</v>
      </c>
      <c r="Q233" s="12">
        <v>0</v>
      </c>
      <c r="R233" s="12">
        <v>278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58">
        <v>41757</v>
      </c>
      <c r="AB233" s="131" t="str">
        <f t="shared" si="62"/>
        <v/>
      </c>
      <c r="AC233" s="131">
        <f t="shared" ref="AC233:AC234" si="84">IF(Y233=Y232,AC232,AC232+1)</f>
        <v>22</v>
      </c>
      <c r="AD233" s="143" t="str">
        <f t="shared" ref="AD233:AD234" si="85">IF(Z233="", "A", "AM")</f>
        <v>A</v>
      </c>
      <c r="AE233" s="145">
        <f t="shared" ref="AE233:AE234" si="86">B233-T233</f>
        <v>272</v>
      </c>
      <c r="AF233" s="12" t="b">
        <f t="shared" si="68"/>
        <v>0</v>
      </c>
    </row>
    <row r="234" spans="1:32">
      <c r="A234" s="12" t="s">
        <v>466</v>
      </c>
      <c r="B234" s="12">
        <v>1357.6</v>
      </c>
      <c r="C234" s="12">
        <v>0</v>
      </c>
      <c r="D234" s="12">
        <v>441.8</v>
      </c>
      <c r="F234" s="12">
        <v>12.4</v>
      </c>
      <c r="H234" s="12">
        <v>425</v>
      </c>
      <c r="J234" s="12">
        <v>72</v>
      </c>
      <c r="L234" s="12">
        <v>0</v>
      </c>
      <c r="M234" s="12" t="s">
        <v>1</v>
      </c>
      <c r="O234" s="12">
        <v>434</v>
      </c>
      <c r="P234" s="12">
        <v>49</v>
      </c>
      <c r="Q234" s="12">
        <v>0</v>
      </c>
      <c r="R234" s="12">
        <v>483</v>
      </c>
      <c r="T234" s="12">
        <v>11.3</v>
      </c>
      <c r="U234" s="12">
        <v>0</v>
      </c>
      <c r="V234" s="12">
        <v>0</v>
      </c>
      <c r="W234" s="12">
        <v>0</v>
      </c>
      <c r="X234" s="12">
        <v>0</v>
      </c>
      <c r="Y234" s="158">
        <v>41757</v>
      </c>
      <c r="AB234" s="131" t="str">
        <f t="shared" si="62"/>
        <v/>
      </c>
      <c r="AC234" s="131">
        <f t="shared" si="84"/>
        <v>22</v>
      </c>
      <c r="AD234" s="143" t="str">
        <f t="shared" si="85"/>
        <v>A</v>
      </c>
      <c r="AE234" s="145">
        <f t="shared" si="86"/>
        <v>1346.3</v>
      </c>
      <c r="AF234" s="12" t="b">
        <f t="shared" si="68"/>
        <v>0</v>
      </c>
    </row>
    <row r="235" spans="1:32">
      <c r="A235" s="12" t="s">
        <v>527</v>
      </c>
      <c r="B235" s="12">
        <v>652.70000000000005</v>
      </c>
      <c r="C235" s="12">
        <v>0</v>
      </c>
      <c r="D235" s="12">
        <v>194.6</v>
      </c>
      <c r="F235" s="12">
        <v>0</v>
      </c>
      <c r="H235" s="12">
        <v>182</v>
      </c>
      <c r="J235" s="12">
        <v>76</v>
      </c>
      <c r="L235" s="12">
        <v>128.30000000000001</v>
      </c>
      <c r="M235" s="12" t="s">
        <v>1</v>
      </c>
      <c r="O235" s="12">
        <v>406.5</v>
      </c>
      <c r="P235" s="12">
        <v>90</v>
      </c>
      <c r="Q235" s="12">
        <v>6</v>
      </c>
      <c r="R235" s="12">
        <v>502.5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58">
        <v>41757</v>
      </c>
      <c r="AB235" s="131" t="str">
        <f t="shared" si="62"/>
        <v/>
      </c>
      <c r="AC235" s="131">
        <f t="shared" ref="AC235:AC239" si="87">IF(Y235=Y234,AC234,AC234+1)</f>
        <v>22</v>
      </c>
      <c r="AD235" s="143" t="str">
        <f t="shared" ref="AD235:AD239" si="88">IF(Z235="", "A", "AM")</f>
        <v>A</v>
      </c>
      <c r="AE235" s="145">
        <f t="shared" ref="AE235:AE239" si="89">B235-T235</f>
        <v>652.70000000000005</v>
      </c>
      <c r="AF235" s="12" t="b">
        <f t="shared" si="68"/>
        <v>0</v>
      </c>
    </row>
    <row r="236" spans="1:32">
      <c r="A236" s="12" t="s">
        <v>530</v>
      </c>
      <c r="B236" s="12">
        <v>3540.7</v>
      </c>
      <c r="C236" s="12">
        <v>58.5</v>
      </c>
      <c r="D236" s="12">
        <v>560.1</v>
      </c>
      <c r="F236" s="12">
        <v>75.7</v>
      </c>
      <c r="H236" s="12">
        <v>2032</v>
      </c>
      <c r="I236" s="12">
        <v>0.105</v>
      </c>
      <c r="J236" s="12">
        <v>294</v>
      </c>
      <c r="L236" s="12">
        <v>0</v>
      </c>
      <c r="O236" s="12">
        <v>676</v>
      </c>
      <c r="P236" s="12">
        <v>4</v>
      </c>
      <c r="Q236" s="12">
        <v>4</v>
      </c>
      <c r="R236" s="12">
        <v>0.14979999999999999</v>
      </c>
      <c r="T236" s="12">
        <v>95.9</v>
      </c>
      <c r="U236" s="12">
        <v>34</v>
      </c>
      <c r="V236" s="12">
        <v>0</v>
      </c>
      <c r="W236" s="12">
        <v>0</v>
      </c>
      <c r="X236" s="12">
        <v>0</v>
      </c>
      <c r="Y236" s="158">
        <v>41757</v>
      </c>
      <c r="Z236" s="12">
        <v>27.7</v>
      </c>
      <c r="AA236" s="12">
        <v>0.5</v>
      </c>
      <c r="AB236" s="131">
        <f t="shared" si="62"/>
        <v>59</v>
      </c>
      <c r="AC236" s="131">
        <f t="shared" si="87"/>
        <v>22</v>
      </c>
      <c r="AD236" s="143" t="str">
        <f t="shared" si="88"/>
        <v>AM</v>
      </c>
      <c r="AE236" s="145">
        <f t="shared" si="89"/>
        <v>3444.8</v>
      </c>
      <c r="AF236" s="12" t="b">
        <f t="shared" si="68"/>
        <v>0</v>
      </c>
    </row>
    <row r="237" spans="1:32">
      <c r="A237" s="12" t="s">
        <v>534</v>
      </c>
      <c r="B237" s="12">
        <v>2263.1999999999998</v>
      </c>
      <c r="C237" s="12">
        <v>0</v>
      </c>
      <c r="D237" s="12">
        <v>357.9</v>
      </c>
      <c r="F237" s="12">
        <v>23.6</v>
      </c>
      <c r="H237" s="12">
        <v>334</v>
      </c>
      <c r="J237" s="12">
        <v>124</v>
      </c>
      <c r="L237" s="12">
        <v>0</v>
      </c>
      <c r="M237" s="12" t="s">
        <v>1</v>
      </c>
      <c r="O237" s="12">
        <v>1102</v>
      </c>
      <c r="P237" s="12">
        <v>891</v>
      </c>
      <c r="Q237" s="12">
        <v>27</v>
      </c>
      <c r="R237" s="12">
        <v>2020</v>
      </c>
      <c r="T237" s="12">
        <v>233</v>
      </c>
      <c r="U237" s="12">
        <v>0</v>
      </c>
      <c r="V237" s="12">
        <v>0</v>
      </c>
      <c r="W237" s="12">
        <v>0</v>
      </c>
      <c r="X237" s="12">
        <v>0</v>
      </c>
      <c r="Y237" s="158">
        <v>41757</v>
      </c>
      <c r="AB237" s="131" t="str">
        <f t="shared" si="62"/>
        <v/>
      </c>
      <c r="AC237" s="131">
        <f t="shared" si="87"/>
        <v>22</v>
      </c>
      <c r="AD237" s="143" t="str">
        <f t="shared" si="88"/>
        <v>A</v>
      </c>
      <c r="AE237" s="145">
        <f t="shared" si="89"/>
        <v>2030.2</v>
      </c>
      <c r="AF237" s="12" t="b">
        <f t="shared" si="68"/>
        <v>0</v>
      </c>
    </row>
    <row r="238" spans="1:32">
      <c r="A238" s="12" t="s">
        <v>536</v>
      </c>
      <c r="B238" s="12">
        <v>794</v>
      </c>
      <c r="C238" s="12">
        <v>0</v>
      </c>
      <c r="D238" s="12">
        <v>302.3</v>
      </c>
      <c r="F238" s="12">
        <v>52.2</v>
      </c>
      <c r="H238" s="12">
        <v>146</v>
      </c>
      <c r="J238" s="12">
        <v>54</v>
      </c>
      <c r="L238" s="12">
        <v>0</v>
      </c>
      <c r="M238" s="12" t="s">
        <v>1</v>
      </c>
      <c r="O238" s="12">
        <v>76.5</v>
      </c>
      <c r="P238" s="12">
        <v>79.5</v>
      </c>
      <c r="Q238" s="12">
        <v>57</v>
      </c>
      <c r="R238" s="12">
        <v>213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58">
        <v>41757</v>
      </c>
      <c r="AB238" s="131" t="str">
        <f t="shared" si="62"/>
        <v/>
      </c>
      <c r="AC238" s="131">
        <f t="shared" si="87"/>
        <v>22</v>
      </c>
      <c r="AD238" s="143" t="str">
        <f t="shared" si="88"/>
        <v>A</v>
      </c>
      <c r="AE238" s="145">
        <f t="shared" si="89"/>
        <v>794</v>
      </c>
      <c r="AF238" s="12" t="b">
        <f t="shared" si="68"/>
        <v>0</v>
      </c>
    </row>
    <row r="239" spans="1:32">
      <c r="A239" s="12" t="s">
        <v>540</v>
      </c>
      <c r="B239" s="12">
        <v>1862.6</v>
      </c>
      <c r="C239" s="12">
        <v>0</v>
      </c>
      <c r="D239" s="12">
        <v>530.4</v>
      </c>
      <c r="F239" s="12">
        <v>0</v>
      </c>
      <c r="H239" s="12">
        <v>504</v>
      </c>
      <c r="J239" s="12">
        <v>148</v>
      </c>
      <c r="L239" s="12">
        <v>0</v>
      </c>
      <c r="M239" s="12" t="s">
        <v>1</v>
      </c>
      <c r="O239" s="12">
        <v>831.2</v>
      </c>
      <c r="P239" s="12">
        <v>228</v>
      </c>
      <c r="Q239" s="12">
        <v>32</v>
      </c>
      <c r="R239" s="12">
        <v>1091.2</v>
      </c>
      <c r="T239" s="12">
        <v>1</v>
      </c>
      <c r="U239" s="12">
        <v>0</v>
      </c>
      <c r="V239" s="12">
        <v>0</v>
      </c>
      <c r="W239" s="12">
        <v>0</v>
      </c>
      <c r="X239" s="12">
        <v>0</v>
      </c>
      <c r="Y239" s="158">
        <v>41757</v>
      </c>
      <c r="AB239" s="131" t="str">
        <f t="shared" si="62"/>
        <v/>
      </c>
      <c r="AC239" s="131">
        <f t="shared" si="87"/>
        <v>22</v>
      </c>
      <c r="AD239" s="143" t="str">
        <f t="shared" si="88"/>
        <v>A</v>
      </c>
      <c r="AE239" s="145">
        <f t="shared" si="89"/>
        <v>1861.6</v>
      </c>
      <c r="AF239" s="12" t="b">
        <f t="shared" si="68"/>
        <v>0</v>
      </c>
    </row>
    <row r="240" spans="1:32">
      <c r="A240" s="12" t="s">
        <v>327</v>
      </c>
      <c r="B240" s="12">
        <v>1128.5</v>
      </c>
      <c r="C240" s="12">
        <v>8.5</v>
      </c>
      <c r="D240" s="12">
        <v>92.7</v>
      </c>
      <c r="F240" s="12">
        <v>464.4</v>
      </c>
      <c r="H240" s="12">
        <v>247</v>
      </c>
      <c r="J240" s="12">
        <v>23</v>
      </c>
      <c r="L240" s="12">
        <v>0</v>
      </c>
      <c r="M240" s="12" t="s">
        <v>1</v>
      </c>
      <c r="O240" s="12">
        <v>34</v>
      </c>
      <c r="P240" s="12">
        <v>7</v>
      </c>
      <c r="Q240" s="12">
        <v>4</v>
      </c>
      <c r="R240" s="12">
        <v>45</v>
      </c>
      <c r="T240" s="12">
        <v>634.4</v>
      </c>
      <c r="U240" s="12">
        <v>91</v>
      </c>
      <c r="V240" s="12">
        <v>0</v>
      </c>
      <c r="W240" s="12">
        <v>0</v>
      </c>
      <c r="X240" s="12">
        <v>0</v>
      </c>
      <c r="Y240" s="158">
        <v>41758</v>
      </c>
      <c r="AC240" s="131">
        <v>24</v>
      </c>
      <c r="AD240" s="143" t="str">
        <f t="shared" ref="AD240:AD252" si="90">IF(Z240="", "A", "AM")</f>
        <v>A</v>
      </c>
      <c r="AE240" s="145">
        <f t="shared" ref="AE240:AE252" si="91">B240-T240</f>
        <v>494.1</v>
      </c>
      <c r="AF240" s="12" t="b">
        <f t="shared" si="68"/>
        <v>0</v>
      </c>
    </row>
    <row r="241" spans="1:32">
      <c r="A241" s="12" t="s">
        <v>331</v>
      </c>
      <c r="B241" s="12">
        <v>305.5</v>
      </c>
      <c r="C241" s="12">
        <v>1</v>
      </c>
      <c r="D241" s="12">
        <v>112.8</v>
      </c>
      <c r="F241" s="12">
        <v>0</v>
      </c>
      <c r="H241" s="12">
        <v>73</v>
      </c>
      <c r="J241" s="12">
        <v>37</v>
      </c>
      <c r="L241" s="12">
        <v>0</v>
      </c>
      <c r="M241" s="12" t="s">
        <v>1</v>
      </c>
      <c r="O241" s="12">
        <v>186</v>
      </c>
      <c r="P241" s="12">
        <v>8</v>
      </c>
      <c r="Q241" s="12">
        <v>19</v>
      </c>
      <c r="R241" s="12">
        <v>213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58">
        <v>41758</v>
      </c>
      <c r="AC241" s="131">
        <f t="shared" ref="AC241:AC252" si="92">IF(Y241=Y240,AC240,AC240+1)</f>
        <v>24</v>
      </c>
      <c r="AD241" s="143" t="str">
        <f t="shared" si="90"/>
        <v>A</v>
      </c>
      <c r="AE241" s="145">
        <f t="shared" si="91"/>
        <v>305.5</v>
      </c>
      <c r="AF241" s="12" t="b">
        <f t="shared" si="68"/>
        <v>0</v>
      </c>
    </row>
    <row r="242" spans="1:32">
      <c r="A242" s="12" t="s">
        <v>377</v>
      </c>
      <c r="B242" s="12">
        <v>736.5</v>
      </c>
      <c r="C242" s="12">
        <v>12.5</v>
      </c>
      <c r="D242" s="12">
        <v>197.4</v>
      </c>
      <c r="F242" s="12">
        <v>5</v>
      </c>
      <c r="H242" s="12">
        <v>183</v>
      </c>
      <c r="J242" s="12">
        <v>58</v>
      </c>
      <c r="L242" s="12">
        <v>0</v>
      </c>
      <c r="M242" s="12" t="s">
        <v>1</v>
      </c>
      <c r="O242" s="12">
        <v>128</v>
      </c>
      <c r="P242" s="12">
        <v>17</v>
      </c>
      <c r="Q242" s="12">
        <v>84.5</v>
      </c>
      <c r="R242" s="12">
        <v>229.5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58">
        <v>41758</v>
      </c>
      <c r="AC242" s="131">
        <f t="shared" si="92"/>
        <v>24</v>
      </c>
      <c r="AD242" s="143" t="str">
        <f t="shared" si="90"/>
        <v>A</v>
      </c>
      <c r="AE242" s="145">
        <f t="shared" si="91"/>
        <v>736.5</v>
      </c>
      <c r="AF242" s="12" t="b">
        <f t="shared" si="68"/>
        <v>0</v>
      </c>
    </row>
    <row r="243" spans="1:32">
      <c r="A243" s="12" t="s">
        <v>422</v>
      </c>
      <c r="B243" s="12">
        <v>996.5</v>
      </c>
      <c r="C243" s="12">
        <v>13.5</v>
      </c>
      <c r="D243" s="12">
        <v>228.8</v>
      </c>
      <c r="F243" s="12">
        <v>4.8</v>
      </c>
      <c r="H243" s="12">
        <v>431</v>
      </c>
      <c r="J243" s="12">
        <v>70</v>
      </c>
      <c r="L243" s="12">
        <v>0</v>
      </c>
      <c r="M243" s="12" t="s">
        <v>1</v>
      </c>
      <c r="O243" s="12">
        <v>207</v>
      </c>
      <c r="P243" s="12">
        <v>62</v>
      </c>
      <c r="Q243" s="12">
        <v>25</v>
      </c>
      <c r="R243" s="12">
        <v>294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58">
        <v>41758</v>
      </c>
      <c r="AC243" s="131">
        <f t="shared" si="92"/>
        <v>24</v>
      </c>
      <c r="AD243" s="143" t="str">
        <f t="shared" si="90"/>
        <v>A</v>
      </c>
      <c r="AE243" s="145">
        <f t="shared" si="91"/>
        <v>996.5</v>
      </c>
      <c r="AF243" s="12" t="b">
        <f t="shared" si="68"/>
        <v>0</v>
      </c>
    </row>
    <row r="244" spans="1:32">
      <c r="A244" s="12" t="s">
        <v>454</v>
      </c>
      <c r="B244" s="12">
        <v>437.5</v>
      </c>
      <c r="C244" s="12">
        <v>6.5</v>
      </c>
      <c r="D244" s="12">
        <v>104.2</v>
      </c>
      <c r="F244" s="12">
        <v>0</v>
      </c>
      <c r="H244" s="12">
        <v>197</v>
      </c>
      <c r="J244" s="12">
        <v>23</v>
      </c>
      <c r="L244" s="12">
        <v>0</v>
      </c>
      <c r="M244" s="12" t="s">
        <v>1</v>
      </c>
      <c r="O244" s="12">
        <v>177</v>
      </c>
      <c r="P244" s="12">
        <v>10</v>
      </c>
      <c r="Q244" s="12">
        <v>49</v>
      </c>
      <c r="R244" s="12">
        <v>236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58">
        <v>41758</v>
      </c>
      <c r="AC244" s="131">
        <f t="shared" si="92"/>
        <v>24</v>
      </c>
      <c r="AD244" s="143" t="str">
        <f t="shared" si="90"/>
        <v>A</v>
      </c>
      <c r="AE244" s="145">
        <f t="shared" si="91"/>
        <v>437.5</v>
      </c>
      <c r="AF244" s="12" t="b">
        <f t="shared" si="68"/>
        <v>0</v>
      </c>
    </row>
    <row r="245" spans="1:32">
      <c r="A245" s="12" t="s">
        <v>456</v>
      </c>
      <c r="B245" s="12">
        <v>1919</v>
      </c>
      <c r="C245" s="12">
        <v>0</v>
      </c>
      <c r="D245" s="12">
        <v>520.79999999999995</v>
      </c>
      <c r="F245" s="12">
        <v>13</v>
      </c>
      <c r="H245" s="12">
        <v>635</v>
      </c>
      <c r="J245" s="12">
        <v>114</v>
      </c>
      <c r="L245" s="12">
        <v>0</v>
      </c>
      <c r="M245" s="12" t="s">
        <v>1</v>
      </c>
      <c r="O245" s="12">
        <v>785.4</v>
      </c>
      <c r="P245" s="12">
        <v>984.7</v>
      </c>
      <c r="Q245" s="12">
        <v>135.1</v>
      </c>
      <c r="R245" s="12">
        <v>1905.2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58">
        <v>41758</v>
      </c>
      <c r="AC245" s="131">
        <f t="shared" si="92"/>
        <v>24</v>
      </c>
      <c r="AD245" s="143" t="str">
        <f t="shared" si="90"/>
        <v>A</v>
      </c>
      <c r="AE245" s="145">
        <f t="shared" si="91"/>
        <v>1919</v>
      </c>
      <c r="AF245" s="12" t="b">
        <f t="shared" si="68"/>
        <v>0</v>
      </c>
    </row>
    <row r="246" spans="1:32">
      <c r="A246" s="12" t="s">
        <v>460</v>
      </c>
      <c r="B246" s="12">
        <v>3418.1</v>
      </c>
      <c r="C246" s="12">
        <v>28</v>
      </c>
      <c r="D246" s="12">
        <v>702.8</v>
      </c>
      <c r="F246" s="12">
        <v>526.6</v>
      </c>
      <c r="H246" s="12">
        <v>1571</v>
      </c>
      <c r="J246" s="12">
        <v>240</v>
      </c>
      <c r="L246" s="12">
        <v>0</v>
      </c>
      <c r="M246" s="12" t="s">
        <v>1</v>
      </c>
      <c r="O246" s="12">
        <v>336</v>
      </c>
      <c r="P246" s="12">
        <v>277</v>
      </c>
      <c r="Q246" s="12">
        <v>12</v>
      </c>
      <c r="R246" s="12">
        <v>625</v>
      </c>
      <c r="T246" s="12">
        <v>72.7</v>
      </c>
      <c r="U246" s="12">
        <v>0</v>
      </c>
      <c r="V246" s="12">
        <v>0</v>
      </c>
      <c r="W246" s="12">
        <v>0</v>
      </c>
      <c r="X246" s="12">
        <v>0</v>
      </c>
      <c r="Y246" s="158">
        <v>41758</v>
      </c>
      <c r="AC246" s="131">
        <f t="shared" si="92"/>
        <v>24</v>
      </c>
      <c r="AD246" s="143" t="str">
        <f t="shared" si="90"/>
        <v>A</v>
      </c>
      <c r="AE246" s="145">
        <f t="shared" si="91"/>
        <v>3345.4</v>
      </c>
      <c r="AF246" s="12" t="b">
        <f t="shared" si="68"/>
        <v>0</v>
      </c>
    </row>
    <row r="247" spans="1:32">
      <c r="A247" s="12" t="s">
        <v>461</v>
      </c>
      <c r="B247" s="12">
        <v>445.5</v>
      </c>
      <c r="C247" s="12">
        <v>8.5</v>
      </c>
      <c r="D247" s="12">
        <v>0</v>
      </c>
      <c r="F247" s="12">
        <v>912.5</v>
      </c>
      <c r="H247" s="12">
        <v>251</v>
      </c>
      <c r="J247" s="12">
        <v>19</v>
      </c>
      <c r="L247" s="12">
        <v>0</v>
      </c>
      <c r="M247" s="12" t="s">
        <v>1</v>
      </c>
      <c r="O247" s="12">
        <v>86</v>
      </c>
      <c r="P247" s="12">
        <v>45</v>
      </c>
      <c r="Q247" s="12">
        <v>31</v>
      </c>
      <c r="R247" s="12">
        <v>162</v>
      </c>
      <c r="T247" s="12">
        <v>2</v>
      </c>
      <c r="U247" s="12">
        <v>0</v>
      </c>
      <c r="V247" s="12">
        <v>0</v>
      </c>
      <c r="W247" s="12">
        <v>0</v>
      </c>
      <c r="X247" s="12">
        <v>0</v>
      </c>
      <c r="Y247" s="158">
        <v>41758</v>
      </c>
      <c r="AC247" s="131">
        <f t="shared" si="92"/>
        <v>24</v>
      </c>
      <c r="AD247" s="143" t="str">
        <f t="shared" si="90"/>
        <v>A</v>
      </c>
      <c r="AE247" s="145">
        <f t="shared" si="91"/>
        <v>443.5</v>
      </c>
      <c r="AF247" s="12" t="b">
        <f t="shared" si="68"/>
        <v>0</v>
      </c>
    </row>
    <row r="248" spans="1:32">
      <c r="A248" s="12" t="s">
        <v>468</v>
      </c>
      <c r="B248" s="12">
        <v>339.5</v>
      </c>
      <c r="C248" s="12">
        <v>0</v>
      </c>
      <c r="D248" s="12">
        <v>77.099999999999994</v>
      </c>
      <c r="F248" s="12">
        <v>40.9</v>
      </c>
      <c r="H248" s="12">
        <v>86</v>
      </c>
      <c r="J248" s="12">
        <v>25</v>
      </c>
      <c r="L248" s="12">
        <v>77.8</v>
      </c>
      <c r="M248" s="12" t="s">
        <v>1</v>
      </c>
      <c r="O248" s="12">
        <v>56</v>
      </c>
      <c r="P248" s="12">
        <v>0</v>
      </c>
      <c r="Q248" s="12">
        <v>130</v>
      </c>
      <c r="R248" s="12">
        <v>186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58">
        <v>41758</v>
      </c>
      <c r="AC248" s="131">
        <f t="shared" si="92"/>
        <v>24</v>
      </c>
      <c r="AD248" s="143" t="str">
        <f t="shared" si="90"/>
        <v>A</v>
      </c>
      <c r="AE248" s="145">
        <f t="shared" si="91"/>
        <v>339.5</v>
      </c>
      <c r="AF248" s="12" t="b">
        <f t="shared" si="68"/>
        <v>0</v>
      </c>
    </row>
    <row r="249" spans="1:32">
      <c r="A249" s="12" t="s">
        <v>477</v>
      </c>
      <c r="B249" s="12">
        <v>82</v>
      </c>
      <c r="C249" s="12">
        <v>0.5</v>
      </c>
      <c r="D249" s="12">
        <v>0</v>
      </c>
      <c r="F249" s="12">
        <v>0</v>
      </c>
      <c r="H249" s="12">
        <v>37</v>
      </c>
      <c r="J249" s="12">
        <v>8</v>
      </c>
      <c r="L249" s="12">
        <v>0</v>
      </c>
      <c r="M249" s="12" t="s">
        <v>1</v>
      </c>
      <c r="O249" s="12">
        <v>22</v>
      </c>
      <c r="P249" s="12">
        <v>4</v>
      </c>
      <c r="Q249" s="12">
        <v>9</v>
      </c>
      <c r="R249" s="12">
        <v>35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58">
        <v>41758</v>
      </c>
      <c r="AC249" s="131">
        <f t="shared" si="92"/>
        <v>24</v>
      </c>
      <c r="AD249" s="143" t="str">
        <f t="shared" si="90"/>
        <v>A</v>
      </c>
      <c r="AE249" s="145">
        <f t="shared" si="91"/>
        <v>82</v>
      </c>
      <c r="AF249" s="12" t="b">
        <f t="shared" si="68"/>
        <v>0</v>
      </c>
    </row>
    <row r="250" spans="1:32">
      <c r="A250" s="12" t="s">
        <v>493</v>
      </c>
      <c r="B250" s="12">
        <v>500.4</v>
      </c>
      <c r="C250" s="12">
        <v>0</v>
      </c>
      <c r="D250" s="12">
        <v>222.3</v>
      </c>
      <c r="F250" s="12">
        <v>0</v>
      </c>
      <c r="H250" s="12">
        <v>189</v>
      </c>
      <c r="J250" s="12">
        <v>28</v>
      </c>
      <c r="L250" s="12">
        <v>0</v>
      </c>
      <c r="M250" s="12" t="s">
        <v>1</v>
      </c>
      <c r="O250" s="12">
        <v>140</v>
      </c>
      <c r="P250" s="12">
        <v>5</v>
      </c>
      <c r="Q250" s="12">
        <v>18</v>
      </c>
      <c r="R250" s="12">
        <v>163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58">
        <v>41758</v>
      </c>
      <c r="AC250" s="131">
        <f t="shared" si="92"/>
        <v>24</v>
      </c>
      <c r="AD250" s="143" t="str">
        <f t="shared" si="90"/>
        <v>A</v>
      </c>
      <c r="AE250" s="145">
        <f t="shared" si="91"/>
        <v>500.4</v>
      </c>
      <c r="AF250" s="12" t="b">
        <f t="shared" si="68"/>
        <v>0</v>
      </c>
    </row>
    <row r="251" spans="1:32">
      <c r="A251" s="12" t="s">
        <v>503</v>
      </c>
      <c r="B251" s="12">
        <v>374.5</v>
      </c>
      <c r="C251" s="12">
        <v>5</v>
      </c>
      <c r="D251" s="12">
        <v>90.1</v>
      </c>
      <c r="F251" s="12">
        <v>0</v>
      </c>
      <c r="H251" s="12">
        <v>126</v>
      </c>
      <c r="J251" s="12">
        <v>40</v>
      </c>
      <c r="L251" s="12">
        <v>0</v>
      </c>
      <c r="M251" s="12" t="s">
        <v>1</v>
      </c>
      <c r="O251" s="12">
        <v>203</v>
      </c>
      <c r="P251" s="12">
        <v>11</v>
      </c>
      <c r="Q251" s="12">
        <v>1</v>
      </c>
      <c r="R251" s="12">
        <v>216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58">
        <v>41758</v>
      </c>
      <c r="AC251" s="131">
        <f t="shared" si="92"/>
        <v>24</v>
      </c>
      <c r="AD251" s="143" t="str">
        <f t="shared" si="90"/>
        <v>A</v>
      </c>
      <c r="AE251" s="145">
        <f t="shared" si="91"/>
        <v>374.5</v>
      </c>
      <c r="AF251" s="12" t="b">
        <f t="shared" si="68"/>
        <v>0</v>
      </c>
    </row>
    <row r="252" spans="1:32">
      <c r="A252" s="12" t="s">
        <v>514</v>
      </c>
      <c r="B252" s="12">
        <v>975.2</v>
      </c>
      <c r="C252" s="12">
        <v>10.5</v>
      </c>
      <c r="D252" s="12">
        <v>0</v>
      </c>
      <c r="F252" s="12">
        <v>0</v>
      </c>
      <c r="H252" s="12">
        <v>378</v>
      </c>
      <c r="J252" s="12">
        <v>130</v>
      </c>
      <c r="L252" s="12">
        <v>0</v>
      </c>
      <c r="M252" s="12" t="s">
        <v>1</v>
      </c>
      <c r="O252" s="12">
        <v>751</v>
      </c>
      <c r="P252" s="12">
        <v>139</v>
      </c>
      <c r="Q252" s="12">
        <v>51</v>
      </c>
      <c r="R252" s="12">
        <v>941</v>
      </c>
      <c r="T252" s="12">
        <v>6.7</v>
      </c>
      <c r="U252" s="12">
        <v>0</v>
      </c>
      <c r="V252" s="12">
        <v>0</v>
      </c>
      <c r="W252" s="12">
        <v>0</v>
      </c>
      <c r="X252" s="12">
        <v>0</v>
      </c>
      <c r="Y252" s="158">
        <v>41758</v>
      </c>
      <c r="AC252" s="131">
        <f t="shared" si="92"/>
        <v>24</v>
      </c>
      <c r="AD252" s="143" t="str">
        <f t="shared" si="90"/>
        <v>A</v>
      </c>
      <c r="AE252" s="145">
        <f t="shared" si="91"/>
        <v>968.5</v>
      </c>
      <c r="AF252" s="12" t="b">
        <f t="shared" si="68"/>
        <v>0</v>
      </c>
    </row>
    <row r="253" spans="1:32">
      <c r="A253" s="12" t="s">
        <v>533</v>
      </c>
      <c r="B253" s="12">
        <v>7000</v>
      </c>
      <c r="C253" s="12">
        <v>97</v>
      </c>
      <c r="D253" s="12">
        <v>1630.6</v>
      </c>
      <c r="F253" s="12">
        <v>9155.9</v>
      </c>
      <c r="H253" s="12">
        <v>4316</v>
      </c>
      <c r="J253" s="12">
        <v>431</v>
      </c>
      <c r="L253" s="12">
        <v>1995.2</v>
      </c>
      <c r="M253" s="12" t="s">
        <v>1</v>
      </c>
      <c r="O253" s="12">
        <v>2310</v>
      </c>
      <c r="P253" s="12">
        <v>771</v>
      </c>
      <c r="Q253" s="12">
        <v>0</v>
      </c>
      <c r="R253" s="12">
        <v>3081</v>
      </c>
      <c r="T253" s="12">
        <v>18.899999999999999</v>
      </c>
      <c r="U253" s="12">
        <v>0</v>
      </c>
      <c r="V253" s="12">
        <v>0</v>
      </c>
      <c r="W253" s="12">
        <v>0</v>
      </c>
      <c r="X253" s="12">
        <v>0</v>
      </c>
      <c r="Y253" s="158">
        <v>41758</v>
      </c>
      <c r="AC253" s="131">
        <f t="shared" ref="AC253:AC260" si="93">IF(Y253=Y252,AC252,AC252+1)</f>
        <v>24</v>
      </c>
      <c r="AD253" s="143" t="str">
        <f t="shared" ref="AD253:AD260" si="94">IF(Z253="", "A", "AM")</f>
        <v>A</v>
      </c>
      <c r="AE253" s="145">
        <f t="shared" ref="AE253:AE260" si="95">B253-T253</f>
        <v>6981.1</v>
      </c>
      <c r="AF253" s="12" t="b">
        <f t="shared" si="68"/>
        <v>0</v>
      </c>
    </row>
    <row r="254" spans="1:32">
      <c r="A254" s="12" t="s">
        <v>541</v>
      </c>
      <c r="B254" s="12">
        <v>2208.6999999999998</v>
      </c>
      <c r="C254" s="12">
        <v>15</v>
      </c>
      <c r="D254" s="12">
        <v>658.1</v>
      </c>
      <c r="F254" s="12">
        <v>143.4</v>
      </c>
      <c r="H254" s="12">
        <v>1128</v>
      </c>
      <c r="J254" s="12">
        <v>121</v>
      </c>
      <c r="L254" s="12">
        <v>0</v>
      </c>
      <c r="M254" s="12" t="s">
        <v>1</v>
      </c>
      <c r="O254" s="12">
        <v>575.5</v>
      </c>
      <c r="P254" s="12">
        <v>139</v>
      </c>
      <c r="Q254" s="12">
        <v>2</v>
      </c>
      <c r="R254" s="12">
        <v>716.5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58">
        <v>41758</v>
      </c>
      <c r="AC254" s="131">
        <f t="shared" si="93"/>
        <v>24</v>
      </c>
      <c r="AD254" s="143" t="str">
        <f t="shared" si="94"/>
        <v>A</v>
      </c>
      <c r="AE254" s="145">
        <f t="shared" si="95"/>
        <v>2208.6999999999998</v>
      </c>
      <c r="AF254" s="12" t="b">
        <f t="shared" si="68"/>
        <v>0</v>
      </c>
    </row>
    <row r="255" spans="1:32">
      <c r="A255" s="12" t="s">
        <v>545</v>
      </c>
      <c r="B255" s="12">
        <v>2557.1</v>
      </c>
      <c r="C255" s="12">
        <v>0</v>
      </c>
      <c r="D255" s="12">
        <v>188.3</v>
      </c>
      <c r="F255" s="12">
        <v>60.9</v>
      </c>
      <c r="H255" s="12">
        <v>566</v>
      </c>
      <c r="J255" s="12">
        <v>181</v>
      </c>
      <c r="L255" s="12">
        <v>0</v>
      </c>
      <c r="M255" s="12" t="s">
        <v>1</v>
      </c>
      <c r="O255" s="12">
        <v>453</v>
      </c>
      <c r="P255" s="12">
        <v>578.79999999999995</v>
      </c>
      <c r="Q255" s="12">
        <v>6</v>
      </c>
      <c r="R255" s="12">
        <v>1037.8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58">
        <v>41758</v>
      </c>
      <c r="AC255" s="131">
        <f t="shared" si="93"/>
        <v>24</v>
      </c>
      <c r="AD255" s="143" t="str">
        <f t="shared" si="94"/>
        <v>A</v>
      </c>
      <c r="AE255" s="145">
        <f t="shared" si="95"/>
        <v>2557.1</v>
      </c>
      <c r="AF255" s="12" t="b">
        <f t="shared" si="68"/>
        <v>0</v>
      </c>
    </row>
    <row r="256" spans="1:32">
      <c r="A256" s="12" t="s">
        <v>558</v>
      </c>
      <c r="B256" s="12">
        <v>649.1</v>
      </c>
      <c r="C256" s="12">
        <v>7.5</v>
      </c>
      <c r="D256" s="12">
        <v>91</v>
      </c>
      <c r="F256" s="12">
        <v>0</v>
      </c>
      <c r="H256" s="12">
        <v>297</v>
      </c>
      <c r="J256" s="12">
        <v>53</v>
      </c>
      <c r="L256" s="12">
        <v>0</v>
      </c>
      <c r="M256" s="12" t="s">
        <v>1</v>
      </c>
      <c r="O256" s="12">
        <v>222</v>
      </c>
      <c r="P256" s="12">
        <v>54</v>
      </c>
      <c r="Q256" s="12">
        <v>22</v>
      </c>
      <c r="R256" s="12">
        <v>298</v>
      </c>
      <c r="T256" s="12">
        <v>0.9</v>
      </c>
      <c r="U256" s="12">
        <v>0</v>
      </c>
      <c r="V256" s="12">
        <v>0</v>
      </c>
      <c r="W256" s="12">
        <v>0</v>
      </c>
      <c r="X256" s="12">
        <v>0</v>
      </c>
      <c r="Y256" s="158">
        <v>41758</v>
      </c>
      <c r="AC256" s="131">
        <f t="shared" si="93"/>
        <v>24</v>
      </c>
      <c r="AD256" s="143" t="str">
        <f t="shared" si="94"/>
        <v>A</v>
      </c>
      <c r="AE256" s="145">
        <f t="shared" si="95"/>
        <v>648.20000000000005</v>
      </c>
      <c r="AF256" s="12" t="b">
        <f t="shared" si="68"/>
        <v>0</v>
      </c>
    </row>
    <row r="257" spans="1:32">
      <c r="A257" s="12" t="s">
        <v>559</v>
      </c>
      <c r="B257" s="12">
        <v>440.8</v>
      </c>
      <c r="C257" s="12">
        <v>5.5</v>
      </c>
      <c r="D257" s="12">
        <v>87.6</v>
      </c>
      <c r="F257" s="12">
        <v>0</v>
      </c>
      <c r="H257" s="12">
        <v>234</v>
      </c>
      <c r="I257" s="12">
        <v>0.105</v>
      </c>
      <c r="J257" s="12">
        <v>14</v>
      </c>
      <c r="L257" s="12">
        <v>0</v>
      </c>
      <c r="O257" s="12">
        <v>64</v>
      </c>
      <c r="P257" s="12">
        <v>317</v>
      </c>
      <c r="Q257" s="12">
        <v>23</v>
      </c>
      <c r="R257" s="12">
        <v>0.29170000000000001</v>
      </c>
      <c r="T257" s="12">
        <v>14.8</v>
      </c>
      <c r="U257" s="12">
        <v>0</v>
      </c>
      <c r="V257" s="12">
        <v>0</v>
      </c>
      <c r="W257" s="12">
        <v>0</v>
      </c>
      <c r="X257" s="12">
        <v>0</v>
      </c>
      <c r="Y257" s="158">
        <v>41758</v>
      </c>
      <c r="Z257" s="12">
        <v>10</v>
      </c>
      <c r="AA257" s="12">
        <v>0</v>
      </c>
      <c r="AC257" s="131">
        <f t="shared" si="93"/>
        <v>24</v>
      </c>
      <c r="AD257" s="143" t="str">
        <f t="shared" si="94"/>
        <v>AM</v>
      </c>
      <c r="AE257" s="145">
        <f t="shared" si="95"/>
        <v>426</v>
      </c>
      <c r="AF257" s="12" t="b">
        <f t="shared" si="68"/>
        <v>0</v>
      </c>
    </row>
    <row r="258" spans="1:32">
      <c r="A258" s="12" t="s">
        <v>576</v>
      </c>
      <c r="B258" s="12">
        <v>451.2</v>
      </c>
      <c r="C258" s="12">
        <v>5</v>
      </c>
      <c r="D258" s="12">
        <v>147.69999999999999</v>
      </c>
      <c r="F258" s="12">
        <v>0</v>
      </c>
      <c r="H258" s="12">
        <v>233</v>
      </c>
      <c r="J258" s="12">
        <v>36</v>
      </c>
      <c r="L258" s="12">
        <v>0</v>
      </c>
      <c r="M258" s="12" t="s">
        <v>1</v>
      </c>
      <c r="O258" s="12">
        <v>36</v>
      </c>
      <c r="P258" s="12">
        <v>62.5</v>
      </c>
      <c r="Q258" s="12">
        <v>80.5</v>
      </c>
      <c r="R258" s="12">
        <v>179</v>
      </c>
      <c r="T258" s="12">
        <v>6.7</v>
      </c>
      <c r="U258" s="12">
        <v>0</v>
      </c>
      <c r="V258" s="12">
        <v>0</v>
      </c>
      <c r="W258" s="12">
        <v>0</v>
      </c>
      <c r="X258" s="12">
        <v>0</v>
      </c>
      <c r="Y258" s="158">
        <v>41758</v>
      </c>
      <c r="AC258" s="131">
        <f t="shared" si="93"/>
        <v>24</v>
      </c>
      <c r="AD258" s="143" t="str">
        <f t="shared" si="94"/>
        <v>A</v>
      </c>
      <c r="AE258" s="145">
        <f t="shared" si="95"/>
        <v>444.5</v>
      </c>
      <c r="AF258" s="12" t="b">
        <f t="shared" ref="AF258:AF287" si="96">COUNTIF(A:A,A258)&gt;1</f>
        <v>0</v>
      </c>
    </row>
    <row r="259" spans="1:32">
      <c r="A259" s="12" t="s">
        <v>579</v>
      </c>
      <c r="B259" s="12">
        <v>956.8</v>
      </c>
      <c r="C259" s="12">
        <v>15</v>
      </c>
      <c r="D259" s="12">
        <v>297.10000000000002</v>
      </c>
      <c r="F259" s="12">
        <v>8.6999999999999993</v>
      </c>
      <c r="H259" s="12">
        <v>518</v>
      </c>
      <c r="J259" s="12">
        <v>51</v>
      </c>
      <c r="L259" s="12">
        <v>0</v>
      </c>
      <c r="M259" s="12" t="s">
        <v>1</v>
      </c>
      <c r="O259" s="12">
        <v>123</v>
      </c>
      <c r="P259" s="12">
        <v>24</v>
      </c>
      <c r="Q259" s="12">
        <v>3</v>
      </c>
      <c r="R259" s="12">
        <v>150</v>
      </c>
      <c r="T259" s="12">
        <v>12.3</v>
      </c>
      <c r="U259" s="12">
        <v>0</v>
      </c>
      <c r="V259" s="12">
        <v>0</v>
      </c>
      <c r="W259" s="12">
        <v>0</v>
      </c>
      <c r="X259" s="12">
        <v>0</v>
      </c>
      <c r="Y259" s="158">
        <v>41758</v>
      </c>
      <c r="AC259" s="131">
        <f t="shared" si="93"/>
        <v>24</v>
      </c>
      <c r="AD259" s="143" t="str">
        <f t="shared" si="94"/>
        <v>A</v>
      </c>
      <c r="AE259" s="145">
        <f t="shared" si="95"/>
        <v>944.5</v>
      </c>
      <c r="AF259" s="12" t="b">
        <f t="shared" si="96"/>
        <v>0</v>
      </c>
    </row>
    <row r="260" spans="1:32">
      <c r="A260" s="12" t="s">
        <v>580</v>
      </c>
      <c r="B260" s="12">
        <v>171.5</v>
      </c>
      <c r="C260" s="12">
        <v>1.5</v>
      </c>
      <c r="D260" s="12">
        <v>32.299999999999997</v>
      </c>
      <c r="F260" s="12">
        <v>0</v>
      </c>
      <c r="H260" s="12">
        <v>52</v>
      </c>
      <c r="J260" s="12">
        <v>23</v>
      </c>
      <c r="L260" s="12">
        <v>0</v>
      </c>
      <c r="M260" s="12" t="s">
        <v>1</v>
      </c>
      <c r="O260" s="12">
        <v>75</v>
      </c>
      <c r="P260" s="12">
        <v>9</v>
      </c>
      <c r="Q260" s="12">
        <v>33</v>
      </c>
      <c r="R260" s="12">
        <v>117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58">
        <v>41758</v>
      </c>
      <c r="AC260" s="131">
        <f t="shared" si="93"/>
        <v>24</v>
      </c>
      <c r="AD260" s="143" t="str">
        <f t="shared" si="94"/>
        <v>A</v>
      </c>
      <c r="AE260" s="145">
        <f t="shared" si="95"/>
        <v>171.5</v>
      </c>
      <c r="AF260" s="12" t="b">
        <f t="shared" si="96"/>
        <v>0</v>
      </c>
    </row>
    <row r="261" spans="1:32">
      <c r="A261" s="12" t="s">
        <v>307</v>
      </c>
      <c r="B261" s="12">
        <v>509.7</v>
      </c>
      <c r="C261" s="12">
        <v>6.5</v>
      </c>
      <c r="D261" s="12">
        <v>178.6</v>
      </c>
      <c r="F261" s="12">
        <v>0</v>
      </c>
      <c r="H261" s="12">
        <v>163</v>
      </c>
      <c r="J261" s="12">
        <v>28</v>
      </c>
      <c r="L261" s="12">
        <v>0</v>
      </c>
      <c r="M261" s="12" t="s">
        <v>1</v>
      </c>
      <c r="O261" s="12">
        <v>226</v>
      </c>
      <c r="P261" s="12">
        <v>6</v>
      </c>
      <c r="Q261" s="12">
        <v>38</v>
      </c>
      <c r="R261" s="12">
        <v>270</v>
      </c>
      <c r="T261" s="12">
        <v>58.8</v>
      </c>
      <c r="U261" s="12">
        <v>0</v>
      </c>
      <c r="V261" s="12">
        <v>0</v>
      </c>
      <c r="W261" s="12">
        <v>0</v>
      </c>
      <c r="X261" s="12">
        <v>0</v>
      </c>
      <c r="Y261" s="158">
        <v>41764</v>
      </c>
      <c r="AC261" s="12">
        <v>26</v>
      </c>
      <c r="AD261" s="143" t="str">
        <f t="shared" ref="AD261:AD279" si="97">IF(Z261="", "A", "AM")</f>
        <v>A</v>
      </c>
      <c r="AE261" s="145">
        <f t="shared" ref="AE261:AE279" si="98">B261-T261</f>
        <v>450.9</v>
      </c>
      <c r="AF261" s="12" t="b">
        <f t="shared" si="96"/>
        <v>0</v>
      </c>
    </row>
    <row r="262" spans="1:32">
      <c r="A262" s="12" t="s">
        <v>316</v>
      </c>
      <c r="B262" s="12">
        <v>508.7</v>
      </c>
      <c r="C262" s="12">
        <v>5</v>
      </c>
      <c r="D262" s="12">
        <v>52.6</v>
      </c>
      <c r="F262" s="12">
        <v>94.7</v>
      </c>
      <c r="H262" s="12">
        <v>154</v>
      </c>
      <c r="J262" s="12">
        <v>32</v>
      </c>
      <c r="L262" s="12">
        <v>0</v>
      </c>
      <c r="M262" s="12" t="s">
        <v>1</v>
      </c>
      <c r="O262" s="12">
        <v>370.5</v>
      </c>
      <c r="P262" s="12">
        <v>0</v>
      </c>
      <c r="Q262" s="12">
        <v>0</v>
      </c>
      <c r="R262" s="12">
        <v>370.5</v>
      </c>
      <c r="T262" s="12">
        <v>18.600000000000001</v>
      </c>
      <c r="U262" s="12">
        <v>0</v>
      </c>
      <c r="V262" s="12">
        <v>0</v>
      </c>
      <c r="W262" s="12">
        <v>0</v>
      </c>
      <c r="X262" s="12">
        <v>0</v>
      </c>
      <c r="Y262" s="158">
        <v>41764</v>
      </c>
      <c r="AC262" s="12">
        <v>26</v>
      </c>
      <c r="AD262" s="143" t="str">
        <f t="shared" si="97"/>
        <v>A</v>
      </c>
      <c r="AE262" s="145">
        <f t="shared" si="98"/>
        <v>490.1</v>
      </c>
      <c r="AF262" s="12" t="b">
        <f t="shared" si="96"/>
        <v>0</v>
      </c>
    </row>
    <row r="263" spans="1:32">
      <c r="A263" s="12" t="s">
        <v>334</v>
      </c>
      <c r="B263" s="12">
        <v>291.5</v>
      </c>
      <c r="C263" s="12">
        <v>0</v>
      </c>
      <c r="D263" s="12">
        <v>52</v>
      </c>
      <c r="F263" s="12">
        <v>14.3</v>
      </c>
      <c r="H263" s="12">
        <v>71</v>
      </c>
      <c r="J263" s="12">
        <v>23</v>
      </c>
      <c r="L263" s="12">
        <v>0</v>
      </c>
      <c r="M263" s="12" t="s">
        <v>1</v>
      </c>
      <c r="O263" s="12">
        <v>126.5</v>
      </c>
      <c r="P263" s="12">
        <v>7</v>
      </c>
      <c r="Q263" s="12">
        <v>0</v>
      </c>
      <c r="R263" s="12">
        <v>133.5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58">
        <v>41764</v>
      </c>
      <c r="AC263" s="12">
        <v>26</v>
      </c>
      <c r="AD263" s="143" t="str">
        <f t="shared" si="97"/>
        <v>A</v>
      </c>
      <c r="AE263" s="145">
        <f t="shared" si="98"/>
        <v>291.5</v>
      </c>
      <c r="AF263" s="12" t="b">
        <f t="shared" si="96"/>
        <v>0</v>
      </c>
    </row>
    <row r="264" spans="1:32">
      <c r="A264" s="12" t="s">
        <v>335</v>
      </c>
      <c r="B264" s="12">
        <v>21371.5</v>
      </c>
      <c r="C264" s="12">
        <v>0</v>
      </c>
      <c r="D264" s="12">
        <v>4602.3999999999996</v>
      </c>
      <c r="F264" s="12">
        <v>518.6</v>
      </c>
      <c r="H264" s="12">
        <v>1307</v>
      </c>
      <c r="J264" s="12">
        <v>1131</v>
      </c>
      <c r="L264" s="12">
        <v>21.3</v>
      </c>
      <c r="M264" s="12" t="s">
        <v>1</v>
      </c>
      <c r="O264" s="12">
        <v>4996.8999999999996</v>
      </c>
      <c r="P264" s="12">
        <v>1227</v>
      </c>
      <c r="Q264" s="12">
        <v>35</v>
      </c>
      <c r="R264" s="12">
        <v>6258.9</v>
      </c>
      <c r="T264" s="12">
        <v>0.5</v>
      </c>
      <c r="U264" s="12">
        <v>0</v>
      </c>
      <c r="V264" s="12">
        <v>0</v>
      </c>
      <c r="W264" s="12">
        <v>0</v>
      </c>
      <c r="X264" s="12">
        <v>0</v>
      </c>
      <c r="Y264" s="158">
        <v>41764</v>
      </c>
      <c r="AC264" s="12">
        <v>26</v>
      </c>
      <c r="AD264" s="143" t="str">
        <f t="shared" si="97"/>
        <v>A</v>
      </c>
      <c r="AE264" s="145">
        <f t="shared" si="98"/>
        <v>21371</v>
      </c>
      <c r="AF264" s="12" t="b">
        <f t="shared" si="96"/>
        <v>0</v>
      </c>
    </row>
    <row r="265" spans="1:32">
      <c r="A265" s="12" t="s">
        <v>354</v>
      </c>
      <c r="B265" s="12">
        <v>2808.8</v>
      </c>
      <c r="C265" s="12">
        <v>20</v>
      </c>
      <c r="D265" s="12">
        <v>370.3</v>
      </c>
      <c r="F265" s="12">
        <v>735.4</v>
      </c>
      <c r="H265" s="12">
        <v>1727</v>
      </c>
      <c r="J265" s="12">
        <v>188</v>
      </c>
      <c r="L265" s="12">
        <v>0</v>
      </c>
      <c r="M265" s="12" t="s">
        <v>1</v>
      </c>
      <c r="O265" s="12">
        <v>427.3</v>
      </c>
      <c r="P265" s="12">
        <v>1103.0999999999999</v>
      </c>
      <c r="Q265" s="12">
        <v>44</v>
      </c>
      <c r="R265" s="12">
        <v>1574.4</v>
      </c>
      <c r="T265" s="12">
        <v>2</v>
      </c>
      <c r="U265" s="12">
        <v>0</v>
      </c>
      <c r="V265" s="12">
        <v>0</v>
      </c>
      <c r="W265" s="12">
        <v>0</v>
      </c>
      <c r="X265" s="12">
        <v>0</v>
      </c>
      <c r="Y265" s="158">
        <v>41764</v>
      </c>
      <c r="AC265" s="12">
        <v>26</v>
      </c>
      <c r="AD265" s="143" t="str">
        <f t="shared" si="97"/>
        <v>A</v>
      </c>
      <c r="AE265" s="145">
        <f t="shared" si="98"/>
        <v>2806.8</v>
      </c>
      <c r="AF265" s="12" t="b">
        <f t="shared" si="96"/>
        <v>0</v>
      </c>
    </row>
    <row r="266" spans="1:32">
      <c r="A266" s="12" t="s">
        <v>356</v>
      </c>
      <c r="B266" s="12">
        <v>514.5</v>
      </c>
      <c r="C266" s="12">
        <v>4</v>
      </c>
      <c r="D266" s="12">
        <v>191.5</v>
      </c>
      <c r="F266" s="12">
        <v>0</v>
      </c>
      <c r="H266" s="12">
        <v>186</v>
      </c>
      <c r="J266" s="12">
        <v>28</v>
      </c>
      <c r="L266" s="12">
        <v>0</v>
      </c>
      <c r="M266" s="12" t="s">
        <v>1</v>
      </c>
      <c r="O266" s="12">
        <v>233</v>
      </c>
      <c r="P266" s="12">
        <v>104</v>
      </c>
      <c r="Q266" s="12">
        <v>113</v>
      </c>
      <c r="R266" s="12">
        <v>451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58">
        <v>41764</v>
      </c>
      <c r="AC266" s="12">
        <v>26</v>
      </c>
      <c r="AD266" s="143" t="str">
        <f t="shared" si="97"/>
        <v>A</v>
      </c>
      <c r="AE266" s="145">
        <f t="shared" si="98"/>
        <v>514.5</v>
      </c>
      <c r="AF266" s="12" t="b">
        <f t="shared" si="96"/>
        <v>0</v>
      </c>
    </row>
    <row r="267" spans="1:32">
      <c r="A267" s="12" t="s">
        <v>363</v>
      </c>
      <c r="B267" s="12">
        <v>46082.3</v>
      </c>
      <c r="C267" s="12">
        <v>956</v>
      </c>
      <c r="D267" s="12">
        <v>9513.7000000000007</v>
      </c>
      <c r="F267" s="12">
        <v>35462.9</v>
      </c>
      <c r="H267" s="12">
        <v>34402</v>
      </c>
      <c r="J267" s="12">
        <v>2180</v>
      </c>
      <c r="L267" s="12">
        <v>5511.5</v>
      </c>
      <c r="M267" s="12" t="s">
        <v>1</v>
      </c>
      <c r="O267" s="12">
        <v>14383</v>
      </c>
      <c r="P267" s="12">
        <v>3426</v>
      </c>
      <c r="Q267" s="12">
        <v>57</v>
      </c>
      <c r="R267" s="12">
        <v>17866</v>
      </c>
      <c r="T267" s="12">
        <v>194</v>
      </c>
      <c r="U267" s="12">
        <v>86</v>
      </c>
      <c r="V267" s="12">
        <v>8</v>
      </c>
      <c r="W267" s="12">
        <v>3</v>
      </c>
      <c r="X267" s="12">
        <v>0</v>
      </c>
      <c r="Y267" s="158">
        <v>41764</v>
      </c>
      <c r="AC267" s="12">
        <v>26</v>
      </c>
      <c r="AD267" s="143" t="str">
        <f t="shared" si="97"/>
        <v>A</v>
      </c>
      <c r="AE267" s="145">
        <f t="shared" si="98"/>
        <v>45888.3</v>
      </c>
      <c r="AF267" s="12" t="b">
        <f t="shared" si="96"/>
        <v>0</v>
      </c>
    </row>
    <row r="268" spans="1:32">
      <c r="A268" s="12" t="s">
        <v>368</v>
      </c>
      <c r="B268" s="12">
        <v>1128.5999999999999</v>
      </c>
      <c r="C268" s="12">
        <v>3</v>
      </c>
      <c r="D268" s="12">
        <v>40.700000000000003</v>
      </c>
      <c r="F268" s="12">
        <v>0</v>
      </c>
      <c r="H268" s="12">
        <v>254</v>
      </c>
      <c r="J268" s="12">
        <v>105</v>
      </c>
      <c r="L268" s="12">
        <v>0</v>
      </c>
      <c r="M268" s="12" t="s">
        <v>1</v>
      </c>
      <c r="O268" s="12">
        <v>507.5</v>
      </c>
      <c r="P268" s="12">
        <v>36</v>
      </c>
      <c r="Q268" s="12">
        <v>21</v>
      </c>
      <c r="R268" s="12">
        <v>564.5</v>
      </c>
      <c r="T268" s="12">
        <v>0</v>
      </c>
      <c r="U268" s="12">
        <v>0</v>
      </c>
      <c r="V268" s="12">
        <v>0</v>
      </c>
      <c r="W268" s="12">
        <v>0</v>
      </c>
      <c r="X268" s="12">
        <v>1</v>
      </c>
      <c r="Y268" s="158">
        <v>41764</v>
      </c>
      <c r="AC268" s="12">
        <v>26</v>
      </c>
      <c r="AD268" s="143" t="str">
        <f t="shared" si="97"/>
        <v>A</v>
      </c>
      <c r="AE268" s="145">
        <f t="shared" si="98"/>
        <v>1128.5999999999999</v>
      </c>
      <c r="AF268" s="12" t="b">
        <f t="shared" si="96"/>
        <v>0</v>
      </c>
    </row>
    <row r="269" spans="1:32">
      <c r="A269" s="12" t="s">
        <v>369</v>
      </c>
      <c r="B269" s="12">
        <v>5101.1000000000004</v>
      </c>
      <c r="C269" s="12">
        <v>30</v>
      </c>
      <c r="D269" s="12">
        <v>1083.0999999999999</v>
      </c>
      <c r="F269" s="12">
        <v>628.1</v>
      </c>
      <c r="H269" s="12">
        <v>1028</v>
      </c>
      <c r="J269" s="12">
        <v>208</v>
      </c>
      <c r="L269" s="12">
        <v>0</v>
      </c>
      <c r="M269" s="12" t="s">
        <v>1</v>
      </c>
      <c r="O269" s="12">
        <v>3567</v>
      </c>
      <c r="P269" s="12">
        <v>1338</v>
      </c>
      <c r="Q269" s="12">
        <v>46</v>
      </c>
      <c r="R269" s="12">
        <v>4951</v>
      </c>
      <c r="T269" s="12">
        <v>15</v>
      </c>
      <c r="U269" s="12">
        <v>0</v>
      </c>
      <c r="V269" s="12">
        <v>0</v>
      </c>
      <c r="W269" s="12">
        <v>0</v>
      </c>
      <c r="X269" s="12">
        <v>1</v>
      </c>
      <c r="Y269" s="158">
        <v>41764</v>
      </c>
      <c r="AC269" s="12">
        <v>26</v>
      </c>
      <c r="AD269" s="143" t="str">
        <f t="shared" si="97"/>
        <v>A</v>
      </c>
      <c r="AE269" s="145">
        <f t="shared" si="98"/>
        <v>5086.1000000000004</v>
      </c>
      <c r="AF269" s="12" t="b">
        <f t="shared" si="96"/>
        <v>0</v>
      </c>
    </row>
    <row r="270" spans="1:32">
      <c r="A270" s="12" t="s">
        <v>370</v>
      </c>
      <c r="B270" s="12">
        <v>6764.5</v>
      </c>
      <c r="C270" s="12">
        <v>18</v>
      </c>
      <c r="D270" s="12">
        <v>1930.5</v>
      </c>
      <c r="F270" s="12">
        <v>80</v>
      </c>
      <c r="H270" s="12">
        <v>1009</v>
      </c>
      <c r="J270" s="12">
        <v>376</v>
      </c>
      <c r="L270" s="12">
        <v>16</v>
      </c>
      <c r="M270" s="12" t="s">
        <v>1</v>
      </c>
      <c r="O270" s="12">
        <v>4407</v>
      </c>
      <c r="P270" s="12">
        <v>1907</v>
      </c>
      <c r="Q270" s="12">
        <v>5</v>
      </c>
      <c r="R270" s="12">
        <v>6319</v>
      </c>
      <c r="T270" s="12">
        <v>343.8</v>
      </c>
      <c r="U270" s="12">
        <v>41</v>
      </c>
      <c r="V270" s="12">
        <v>0</v>
      </c>
      <c r="W270" s="12">
        <v>0</v>
      </c>
      <c r="X270" s="12">
        <v>1</v>
      </c>
      <c r="Y270" s="158">
        <v>41764</v>
      </c>
      <c r="AC270" s="12">
        <v>26</v>
      </c>
      <c r="AD270" s="143" t="str">
        <f t="shared" si="97"/>
        <v>A</v>
      </c>
      <c r="AE270" s="145">
        <f t="shared" si="98"/>
        <v>6420.7</v>
      </c>
      <c r="AF270" s="12" t="b">
        <f t="shared" si="96"/>
        <v>0</v>
      </c>
    </row>
    <row r="271" spans="1:32">
      <c r="A271" s="12" t="s">
        <v>372</v>
      </c>
      <c r="B271" s="12">
        <v>744.6</v>
      </c>
      <c r="C271" s="12">
        <v>10</v>
      </c>
      <c r="D271" s="12">
        <v>151.19999999999999</v>
      </c>
      <c r="F271" s="12">
        <v>0</v>
      </c>
      <c r="H271" s="12">
        <v>180</v>
      </c>
      <c r="J271" s="12">
        <v>36</v>
      </c>
      <c r="L271" s="12">
        <v>13</v>
      </c>
      <c r="M271" s="12" t="s">
        <v>1</v>
      </c>
      <c r="O271" s="12">
        <v>208</v>
      </c>
      <c r="P271" s="12">
        <v>93</v>
      </c>
      <c r="Q271" s="12">
        <v>0</v>
      </c>
      <c r="R271" s="12">
        <v>301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58">
        <v>41764</v>
      </c>
      <c r="AC271" s="12">
        <v>26</v>
      </c>
      <c r="AD271" s="143" t="str">
        <f t="shared" si="97"/>
        <v>A</v>
      </c>
      <c r="AE271" s="145">
        <f t="shared" si="98"/>
        <v>744.6</v>
      </c>
      <c r="AF271" s="12" t="b">
        <f t="shared" si="96"/>
        <v>0</v>
      </c>
    </row>
    <row r="272" spans="1:32">
      <c r="A272" s="12" t="s">
        <v>376</v>
      </c>
      <c r="B272" s="12">
        <v>302.8</v>
      </c>
      <c r="C272" s="12">
        <v>6.5</v>
      </c>
      <c r="D272" s="12">
        <v>110.6</v>
      </c>
      <c r="F272" s="12">
        <v>0</v>
      </c>
      <c r="H272" s="12">
        <v>121</v>
      </c>
      <c r="J272" s="12">
        <v>8</v>
      </c>
      <c r="L272" s="12">
        <v>0</v>
      </c>
      <c r="M272" s="12" t="s">
        <v>1</v>
      </c>
      <c r="O272" s="12">
        <v>133.5</v>
      </c>
      <c r="P272" s="12">
        <v>4</v>
      </c>
      <c r="Q272" s="12">
        <v>12</v>
      </c>
      <c r="R272" s="12">
        <v>149.5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58">
        <v>41764</v>
      </c>
      <c r="AC272" s="12">
        <v>26</v>
      </c>
      <c r="AD272" s="143" t="str">
        <f t="shared" si="97"/>
        <v>A</v>
      </c>
      <c r="AE272" s="145">
        <f t="shared" si="98"/>
        <v>302.8</v>
      </c>
      <c r="AF272" s="12" t="b">
        <f t="shared" si="96"/>
        <v>0</v>
      </c>
    </row>
    <row r="273" spans="1:32">
      <c r="A273" s="12" t="s">
        <v>462</v>
      </c>
      <c r="B273" s="12">
        <v>1826.4</v>
      </c>
      <c r="C273" s="12">
        <v>0</v>
      </c>
      <c r="D273" s="12">
        <v>394.6</v>
      </c>
      <c r="F273" s="12">
        <v>5.5</v>
      </c>
      <c r="H273" s="12">
        <v>424</v>
      </c>
      <c r="J273" s="12">
        <v>159</v>
      </c>
      <c r="L273" s="12">
        <v>96.4</v>
      </c>
      <c r="M273" s="12" t="s">
        <v>1</v>
      </c>
      <c r="O273" s="12">
        <v>696</v>
      </c>
      <c r="P273" s="12">
        <v>173</v>
      </c>
      <c r="Q273" s="12">
        <v>0</v>
      </c>
      <c r="R273" s="12">
        <v>869</v>
      </c>
      <c r="T273" s="12">
        <v>22.1</v>
      </c>
      <c r="U273" s="12">
        <v>0</v>
      </c>
      <c r="V273" s="12">
        <v>0</v>
      </c>
      <c r="W273" s="12">
        <v>0</v>
      </c>
      <c r="X273" s="12">
        <v>0</v>
      </c>
      <c r="Y273" s="158">
        <v>41764</v>
      </c>
      <c r="AC273" s="12">
        <v>26</v>
      </c>
      <c r="AD273" s="143" t="str">
        <f t="shared" si="97"/>
        <v>A</v>
      </c>
      <c r="AE273" s="145">
        <f t="shared" si="98"/>
        <v>1804.3</v>
      </c>
      <c r="AF273" s="12" t="b">
        <f t="shared" si="96"/>
        <v>0</v>
      </c>
    </row>
    <row r="274" spans="1:32">
      <c r="A274" s="12" t="s">
        <v>472</v>
      </c>
      <c r="B274" s="12">
        <v>5706.7</v>
      </c>
      <c r="C274" s="12">
        <v>22.5</v>
      </c>
      <c r="D274" s="12">
        <v>456.7</v>
      </c>
      <c r="F274" s="12">
        <v>138.5</v>
      </c>
      <c r="H274" s="12">
        <v>653</v>
      </c>
      <c r="J274" s="12">
        <v>172</v>
      </c>
      <c r="L274" s="12">
        <v>0</v>
      </c>
      <c r="M274" s="12" t="s">
        <v>1</v>
      </c>
      <c r="O274" s="12">
        <v>1565</v>
      </c>
      <c r="P274" s="12">
        <v>3216</v>
      </c>
      <c r="Q274" s="12">
        <v>19</v>
      </c>
      <c r="R274" s="12">
        <v>4800</v>
      </c>
      <c r="T274" s="12">
        <v>906.5</v>
      </c>
      <c r="U274" s="12">
        <v>72</v>
      </c>
      <c r="V274" s="12">
        <v>0</v>
      </c>
      <c r="W274" s="12">
        <v>0</v>
      </c>
      <c r="X274" s="12">
        <v>1</v>
      </c>
      <c r="Y274" s="158">
        <v>41764</v>
      </c>
      <c r="AC274" s="12">
        <v>26</v>
      </c>
      <c r="AD274" s="143" t="str">
        <f t="shared" si="97"/>
        <v>A</v>
      </c>
      <c r="AE274" s="145">
        <f t="shared" si="98"/>
        <v>4800.2</v>
      </c>
      <c r="AF274" s="12" t="b">
        <f t="shared" si="96"/>
        <v>0</v>
      </c>
    </row>
    <row r="275" spans="1:32">
      <c r="A275" s="12" t="s">
        <v>475</v>
      </c>
      <c r="B275" s="12">
        <v>413</v>
      </c>
      <c r="C275" s="12">
        <v>0</v>
      </c>
      <c r="D275" s="12">
        <v>168.3</v>
      </c>
      <c r="F275" s="12">
        <v>0</v>
      </c>
      <c r="H275" s="12">
        <v>110</v>
      </c>
      <c r="J275" s="12">
        <v>40</v>
      </c>
      <c r="L275" s="12">
        <v>0</v>
      </c>
      <c r="M275" s="12" t="s">
        <v>1</v>
      </c>
      <c r="O275" s="12">
        <v>32.4</v>
      </c>
      <c r="P275" s="12">
        <v>77.599999999999994</v>
      </c>
      <c r="Q275" s="12">
        <v>41.3</v>
      </c>
      <c r="R275" s="12">
        <v>151.30000000000001</v>
      </c>
      <c r="T275" s="12">
        <v>1</v>
      </c>
      <c r="U275" s="12">
        <v>0</v>
      </c>
      <c r="V275" s="12">
        <v>0</v>
      </c>
      <c r="W275" s="12">
        <v>0</v>
      </c>
      <c r="X275" s="12">
        <v>0</v>
      </c>
      <c r="Y275" s="158">
        <v>41764</v>
      </c>
      <c r="AC275" s="12">
        <v>26</v>
      </c>
      <c r="AD275" s="143" t="str">
        <f t="shared" si="97"/>
        <v>A</v>
      </c>
      <c r="AE275" s="145">
        <f t="shared" si="98"/>
        <v>412</v>
      </c>
      <c r="AF275" s="12" t="b">
        <f t="shared" si="96"/>
        <v>0</v>
      </c>
    </row>
    <row r="276" spans="1:32">
      <c r="A276" s="12" t="s">
        <v>486</v>
      </c>
      <c r="B276" s="12">
        <v>938.8</v>
      </c>
      <c r="C276" s="12">
        <v>12</v>
      </c>
      <c r="D276" s="12">
        <v>214.3</v>
      </c>
      <c r="F276" s="12">
        <v>1.7</v>
      </c>
      <c r="H276" s="12">
        <v>212</v>
      </c>
      <c r="J276" s="12">
        <v>51</v>
      </c>
      <c r="L276" s="12">
        <v>0</v>
      </c>
      <c r="M276" s="12" t="s">
        <v>1</v>
      </c>
      <c r="O276" s="12">
        <v>293</v>
      </c>
      <c r="P276" s="12">
        <v>50</v>
      </c>
      <c r="Q276" s="12">
        <v>35</v>
      </c>
      <c r="R276" s="12">
        <v>378</v>
      </c>
      <c r="T276" s="12">
        <v>81.599999999999994</v>
      </c>
      <c r="U276" s="12">
        <v>4</v>
      </c>
      <c r="V276" s="12">
        <v>0</v>
      </c>
      <c r="W276" s="12">
        <v>0</v>
      </c>
      <c r="X276" s="12">
        <v>0</v>
      </c>
      <c r="Y276" s="158">
        <v>41764</v>
      </c>
      <c r="AC276" s="12">
        <v>26</v>
      </c>
      <c r="AD276" s="143" t="str">
        <f t="shared" si="97"/>
        <v>A</v>
      </c>
      <c r="AE276" s="145">
        <f t="shared" si="98"/>
        <v>857.2</v>
      </c>
      <c r="AF276" s="12" t="b">
        <f t="shared" si="96"/>
        <v>0</v>
      </c>
    </row>
    <row r="277" spans="1:32">
      <c r="A277" s="12" t="s">
        <v>502</v>
      </c>
      <c r="B277" s="12">
        <v>2225.9</v>
      </c>
      <c r="C277" s="12">
        <v>16.5</v>
      </c>
      <c r="D277" s="12">
        <v>525.6</v>
      </c>
      <c r="F277" s="12">
        <v>93.4</v>
      </c>
      <c r="H277" s="12">
        <v>724</v>
      </c>
      <c r="J277" s="12">
        <v>327</v>
      </c>
      <c r="L277" s="12">
        <v>0</v>
      </c>
      <c r="M277" s="12" t="s">
        <v>1</v>
      </c>
      <c r="O277" s="12">
        <v>149</v>
      </c>
      <c r="P277" s="12">
        <v>16</v>
      </c>
      <c r="Q277" s="12">
        <v>8</v>
      </c>
      <c r="R277" s="12">
        <v>173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58">
        <v>41764</v>
      </c>
      <c r="AC277" s="12">
        <v>26</v>
      </c>
      <c r="AD277" s="143" t="str">
        <f t="shared" si="97"/>
        <v>A</v>
      </c>
      <c r="AE277" s="145">
        <f t="shared" si="98"/>
        <v>2225.9</v>
      </c>
      <c r="AF277" s="12" t="b">
        <f t="shared" si="96"/>
        <v>0</v>
      </c>
    </row>
    <row r="278" spans="1:32">
      <c r="A278" s="12" t="s">
        <v>507</v>
      </c>
      <c r="B278" s="12">
        <v>391</v>
      </c>
      <c r="C278" s="12">
        <v>5</v>
      </c>
      <c r="D278" s="12">
        <v>75.599999999999994</v>
      </c>
      <c r="F278" s="12">
        <v>0</v>
      </c>
      <c r="H278" s="12">
        <v>101</v>
      </c>
      <c r="J278" s="12">
        <v>27</v>
      </c>
      <c r="L278" s="12">
        <v>0</v>
      </c>
      <c r="M278" s="12" t="s">
        <v>1</v>
      </c>
      <c r="O278" s="12">
        <v>94</v>
      </c>
      <c r="P278" s="12">
        <v>0</v>
      </c>
      <c r="Q278" s="12">
        <v>12</v>
      </c>
      <c r="R278" s="12">
        <v>106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58">
        <v>41764</v>
      </c>
      <c r="AC278" s="12">
        <v>26</v>
      </c>
      <c r="AD278" s="143" t="str">
        <f t="shared" si="97"/>
        <v>A</v>
      </c>
      <c r="AE278" s="145">
        <f t="shared" si="98"/>
        <v>391</v>
      </c>
      <c r="AF278" s="12" t="b">
        <f t="shared" si="96"/>
        <v>0</v>
      </c>
    </row>
    <row r="279" spans="1:32">
      <c r="A279" s="12" t="s">
        <v>550</v>
      </c>
      <c r="B279" s="12">
        <v>7574.6</v>
      </c>
      <c r="C279" s="12">
        <v>24</v>
      </c>
      <c r="D279" s="12">
        <v>869.4</v>
      </c>
      <c r="F279" s="12">
        <v>1747.7</v>
      </c>
      <c r="H279" s="12">
        <v>3491</v>
      </c>
      <c r="I279" s="12">
        <v>4.1300000000000003E-2</v>
      </c>
      <c r="J279" s="12">
        <v>781</v>
      </c>
      <c r="L279" s="12">
        <v>778.8</v>
      </c>
      <c r="O279" s="12">
        <v>2309</v>
      </c>
      <c r="P279" s="12">
        <v>85</v>
      </c>
      <c r="Q279" s="12">
        <v>34</v>
      </c>
      <c r="R279" s="12">
        <v>0.16470000000000001</v>
      </c>
      <c r="T279" s="12">
        <v>4</v>
      </c>
      <c r="U279" s="12">
        <v>0</v>
      </c>
      <c r="V279" s="12">
        <v>0</v>
      </c>
      <c r="W279" s="12">
        <v>0</v>
      </c>
      <c r="X279" s="12">
        <v>1</v>
      </c>
      <c r="Y279" s="158">
        <v>41764</v>
      </c>
      <c r="Z279" s="12">
        <v>502</v>
      </c>
      <c r="AA279" s="12">
        <v>0</v>
      </c>
      <c r="AC279" s="12">
        <v>26</v>
      </c>
      <c r="AD279" s="143" t="str">
        <f t="shared" si="97"/>
        <v>AM</v>
      </c>
      <c r="AE279" s="145">
        <f t="shared" si="98"/>
        <v>7570.6</v>
      </c>
      <c r="AF279" s="12" t="b">
        <f t="shared" si="96"/>
        <v>0</v>
      </c>
    </row>
    <row r="280" spans="1:32">
      <c r="A280" s="12" t="s">
        <v>548</v>
      </c>
      <c r="B280" s="12">
        <v>1020</v>
      </c>
      <c r="C280" s="12">
        <v>0</v>
      </c>
      <c r="D280" s="12">
        <v>350.5</v>
      </c>
      <c r="F280" s="12">
        <v>1.8</v>
      </c>
      <c r="H280" s="12">
        <v>373</v>
      </c>
      <c r="I280" s="12">
        <v>0</v>
      </c>
      <c r="J280" s="12">
        <v>70</v>
      </c>
      <c r="L280" s="12">
        <v>14.3</v>
      </c>
      <c r="O280" s="12">
        <v>458</v>
      </c>
      <c r="P280" s="12">
        <v>86</v>
      </c>
      <c r="Q280" s="12">
        <v>177</v>
      </c>
      <c r="R280" s="12">
        <v>0.27900000000000003</v>
      </c>
      <c r="T280" s="12">
        <v>0</v>
      </c>
      <c r="U280" s="12">
        <v>0</v>
      </c>
      <c r="V280" s="12">
        <v>0</v>
      </c>
      <c r="W280" s="12">
        <v>0</v>
      </c>
      <c r="X280" s="12">
        <v>1</v>
      </c>
      <c r="Y280" s="158">
        <v>41764</v>
      </c>
      <c r="Z280" s="12">
        <v>30</v>
      </c>
      <c r="AA280" s="12">
        <v>0</v>
      </c>
      <c r="AC280" s="12">
        <v>26</v>
      </c>
      <c r="AD280" s="143" t="str">
        <f t="shared" ref="AD280" si="99">IF(Z280="", "A", "AM")</f>
        <v>AM</v>
      </c>
      <c r="AE280" s="145">
        <f t="shared" ref="AE280" si="100">B280-T280</f>
        <v>1020</v>
      </c>
      <c r="AF280" s="12" t="b">
        <f t="shared" si="96"/>
        <v>0</v>
      </c>
    </row>
    <row r="281" spans="1:32">
      <c r="A281" s="12" t="s">
        <v>485</v>
      </c>
      <c r="B281" s="12">
        <v>127.1</v>
      </c>
      <c r="C281" s="12">
        <v>2.5</v>
      </c>
      <c r="D281" s="12">
        <v>70.599999999999994</v>
      </c>
      <c r="F281" s="12">
        <v>0</v>
      </c>
      <c r="H281" s="12">
        <v>40</v>
      </c>
      <c r="J281" s="12">
        <v>11</v>
      </c>
      <c r="L281" s="12">
        <v>0</v>
      </c>
      <c r="M281" s="12" t="s">
        <v>1</v>
      </c>
      <c r="O281" s="12">
        <v>42</v>
      </c>
      <c r="P281" s="12">
        <v>1</v>
      </c>
      <c r="Q281" s="12">
        <v>27</v>
      </c>
      <c r="R281" s="12">
        <v>70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58">
        <v>41764</v>
      </c>
      <c r="AC281" s="12">
        <v>26</v>
      </c>
      <c r="AD281" s="143" t="str">
        <f t="shared" ref="AD281" si="101">IF(Z281="", "A", "AM")</f>
        <v>A</v>
      </c>
      <c r="AE281" s="145">
        <f t="shared" ref="AE281" si="102">B281-T281</f>
        <v>127.1</v>
      </c>
      <c r="AF281" s="12" t="b">
        <f t="shared" si="96"/>
        <v>0</v>
      </c>
    </row>
    <row r="282" spans="1:32">
      <c r="A282" s="12" t="s">
        <v>339</v>
      </c>
      <c r="B282" s="12">
        <v>27383.1</v>
      </c>
      <c r="C282" s="12">
        <v>30</v>
      </c>
      <c r="D282" s="12">
        <v>4613.7</v>
      </c>
      <c r="F282" s="12">
        <v>5778</v>
      </c>
      <c r="H282" s="12">
        <v>6214</v>
      </c>
      <c r="J282" s="12">
        <v>1088</v>
      </c>
      <c r="L282" s="12">
        <v>73.7</v>
      </c>
      <c r="M282" s="12" t="s">
        <v>1</v>
      </c>
      <c r="O282" s="12">
        <v>4936</v>
      </c>
      <c r="P282" s="12">
        <v>6346</v>
      </c>
      <c r="Q282" s="12">
        <v>0</v>
      </c>
      <c r="R282" s="12">
        <v>11282</v>
      </c>
      <c r="T282" s="12">
        <v>0</v>
      </c>
      <c r="U282" s="12">
        <v>0</v>
      </c>
      <c r="V282" s="12">
        <v>0</v>
      </c>
      <c r="W282" s="12">
        <v>0</v>
      </c>
      <c r="X282" s="12">
        <v>1</v>
      </c>
      <c r="Y282" s="158">
        <v>41764</v>
      </c>
      <c r="AC282" s="12">
        <v>26</v>
      </c>
      <c r="AD282" s="143" t="str">
        <f t="shared" ref="AD282" si="103">IF(Z282="", "A", "AM")</f>
        <v>A</v>
      </c>
      <c r="AE282" s="145">
        <f t="shared" ref="AE282" si="104">B282-T282</f>
        <v>27383.1</v>
      </c>
      <c r="AF282" s="12" t="b">
        <f t="shared" si="96"/>
        <v>0</v>
      </c>
    </row>
    <row r="283" spans="1:32">
      <c r="A283" s="12" t="s">
        <v>317</v>
      </c>
      <c r="B283" s="12">
        <v>1741.6</v>
      </c>
      <c r="C283" s="12">
        <v>0</v>
      </c>
      <c r="D283" s="12">
        <v>0</v>
      </c>
      <c r="F283" s="12">
        <v>160.1</v>
      </c>
      <c r="H283" s="12">
        <v>116</v>
      </c>
      <c r="I283" s="12">
        <v>0</v>
      </c>
      <c r="J283" s="12">
        <v>142</v>
      </c>
      <c r="L283" s="12">
        <v>0</v>
      </c>
      <c r="O283" s="12">
        <v>143</v>
      </c>
      <c r="P283" s="12">
        <v>617</v>
      </c>
      <c r="Q283" s="12">
        <v>9</v>
      </c>
      <c r="R283" s="12">
        <v>0.14979999999999999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58">
        <v>41771</v>
      </c>
      <c r="Z283" s="12">
        <v>146</v>
      </c>
      <c r="AA283" s="12">
        <v>0</v>
      </c>
      <c r="AC283" s="12">
        <v>28</v>
      </c>
      <c r="AD283" s="143" t="str">
        <f t="shared" ref="AD283" si="105">IF(Z283="", "A", "AM")</f>
        <v>AM</v>
      </c>
      <c r="AE283" s="145">
        <f t="shared" ref="AE283" si="106">B283-T283</f>
        <v>1741.6</v>
      </c>
      <c r="AF283" s="12" t="b">
        <f t="shared" si="96"/>
        <v>0</v>
      </c>
    </row>
    <row r="284" spans="1:32">
      <c r="A284" s="12" t="s">
        <v>336</v>
      </c>
      <c r="B284" s="12">
        <v>2843.2</v>
      </c>
      <c r="C284" s="12">
        <v>6.5</v>
      </c>
      <c r="D284" s="12">
        <v>431.2</v>
      </c>
      <c r="F284" s="12">
        <v>4.5</v>
      </c>
      <c r="H284" s="12">
        <v>446</v>
      </c>
      <c r="J284" s="12">
        <v>190</v>
      </c>
      <c r="L284" s="12">
        <v>557.20000000000005</v>
      </c>
      <c r="M284" s="12" t="s">
        <v>1</v>
      </c>
      <c r="O284" s="12">
        <v>1228</v>
      </c>
      <c r="P284" s="12">
        <v>394</v>
      </c>
      <c r="Q284" s="12">
        <v>112</v>
      </c>
      <c r="R284" s="12">
        <v>1734</v>
      </c>
      <c r="T284" s="12">
        <v>594.5</v>
      </c>
      <c r="U284" s="12">
        <v>65</v>
      </c>
      <c r="V284" s="12">
        <v>0</v>
      </c>
      <c r="W284" s="12">
        <v>0</v>
      </c>
      <c r="X284" s="12">
        <v>0</v>
      </c>
      <c r="Y284" s="158">
        <v>41773</v>
      </c>
      <c r="AC284" s="12">
        <v>30</v>
      </c>
      <c r="AD284" s="143" t="str">
        <f t="shared" ref="AD284" si="107">IF(Z284="", "A", "AM")</f>
        <v>A</v>
      </c>
      <c r="AE284" s="145">
        <f t="shared" ref="AE284" si="108">B284-T284</f>
        <v>2248.6999999999998</v>
      </c>
      <c r="AF284" s="12" t="b">
        <f t="shared" si="96"/>
        <v>0</v>
      </c>
    </row>
    <row r="285" spans="1:32">
      <c r="A285" s="12" t="s">
        <v>524</v>
      </c>
      <c r="B285" s="12">
        <v>1936.2</v>
      </c>
      <c r="C285" s="12">
        <v>14</v>
      </c>
      <c r="D285" s="12">
        <v>285</v>
      </c>
      <c r="F285" s="12">
        <v>49.5</v>
      </c>
      <c r="H285" s="12">
        <v>1046</v>
      </c>
      <c r="J285" s="12">
        <v>96</v>
      </c>
      <c r="L285" s="12">
        <v>0</v>
      </c>
      <c r="M285" s="12" t="s">
        <v>1</v>
      </c>
      <c r="O285" s="12">
        <v>441.1</v>
      </c>
      <c r="P285" s="12">
        <v>554.20000000000005</v>
      </c>
      <c r="Q285" s="12">
        <v>92.2</v>
      </c>
      <c r="R285" s="12">
        <v>1087.5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58">
        <v>41779</v>
      </c>
      <c r="AC285" s="12">
        <v>31</v>
      </c>
      <c r="AD285" s="143" t="str">
        <f t="shared" ref="AD285" si="109">IF(Z285="", "A", "AM")</f>
        <v>A</v>
      </c>
      <c r="AE285" s="145">
        <f t="shared" ref="AE285" si="110">B285-T285</f>
        <v>1936.2</v>
      </c>
      <c r="AF285" s="12" t="b">
        <f t="shared" si="96"/>
        <v>0</v>
      </c>
    </row>
    <row r="286" spans="1:32">
      <c r="A286" s="12" t="s">
        <v>405</v>
      </c>
      <c r="B286" s="12">
        <v>275.3</v>
      </c>
      <c r="C286" s="12">
        <v>0</v>
      </c>
      <c r="D286" s="12">
        <v>170.1</v>
      </c>
      <c r="F286" s="12">
        <v>0</v>
      </c>
      <c r="H286" s="12">
        <v>85</v>
      </c>
      <c r="J286" s="12">
        <v>16</v>
      </c>
      <c r="L286" s="12">
        <v>0</v>
      </c>
      <c r="M286" s="12" t="s">
        <v>1</v>
      </c>
      <c r="O286" s="12">
        <v>100</v>
      </c>
      <c r="P286" s="12">
        <v>8</v>
      </c>
      <c r="Q286" s="12">
        <v>37</v>
      </c>
      <c r="R286" s="12">
        <v>145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58">
        <v>41794</v>
      </c>
      <c r="AC286" s="12">
        <v>31</v>
      </c>
      <c r="AD286" s="143" t="str">
        <f t="shared" ref="AD286" si="111">IF(Z286="", "A", "AM")</f>
        <v>A</v>
      </c>
      <c r="AE286" s="145">
        <f t="shared" ref="AE286" si="112">B286-T286</f>
        <v>275.3</v>
      </c>
      <c r="AF286" s="12" t="b">
        <f t="shared" si="96"/>
        <v>0</v>
      </c>
    </row>
    <row r="287" spans="1:32">
      <c r="A287" s="12" t="s">
        <v>529</v>
      </c>
      <c r="B287" s="12">
        <v>419.1</v>
      </c>
      <c r="C287" s="12">
        <v>6</v>
      </c>
      <c r="D287" s="12">
        <v>91.5</v>
      </c>
      <c r="F287" s="12">
        <v>591.70000000000005</v>
      </c>
      <c r="H287" s="12">
        <v>200</v>
      </c>
      <c r="J287" s="12">
        <v>38</v>
      </c>
      <c r="L287" s="12">
        <v>0</v>
      </c>
      <c r="M287" s="12" t="s">
        <v>1</v>
      </c>
      <c r="O287" s="12">
        <v>109</v>
      </c>
      <c r="P287" s="12">
        <v>13</v>
      </c>
      <c r="Q287" s="12">
        <v>4</v>
      </c>
      <c r="R287" s="12">
        <v>126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58">
        <v>41795</v>
      </c>
      <c r="AC287" s="12">
        <v>31</v>
      </c>
      <c r="AD287" s="143" t="str">
        <f t="shared" ref="AD287" si="113">IF(Z287="", "A", "AM")</f>
        <v>A</v>
      </c>
      <c r="AE287" s="145">
        <f t="shared" ref="AE287" si="114">B287-T287</f>
        <v>419.1</v>
      </c>
      <c r="AF287" s="12" t="b">
        <f t="shared" si="96"/>
        <v>0</v>
      </c>
    </row>
  </sheetData>
  <autoFilter ref="A1:AF287"/>
  <sortState ref="A2:Z159">
    <sortCondition ref="Y2:Y159"/>
  </sortState>
  <printOptions headings="1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2014legmax.xls</vt:lpstr>
      <vt:lpstr>Exceptions</vt:lpstr>
      <vt:lpstr>Weightings</vt:lpstr>
      <vt:lpstr>Preliminary SO66</vt:lpstr>
      <vt:lpstr>Audit Values</vt:lpstr>
      <vt:lpstr>Database</vt:lpstr>
      <vt:lpstr>'2014legmax.xls'!Print_Area</vt:lpstr>
      <vt:lpstr>'2014legmax.xls'!Print_Titles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ksbe</dc:creator>
  <cp:lastModifiedBy>Sara Barnes</cp:lastModifiedBy>
  <cp:lastPrinted>2014-05-20T20:26:34Z</cp:lastPrinted>
  <dcterms:created xsi:type="dcterms:W3CDTF">1999-09-14T20:54:03Z</dcterms:created>
  <dcterms:modified xsi:type="dcterms:W3CDTF">2014-10-07T19:10:48Z</dcterms:modified>
</cp:coreProperties>
</file>